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190" windowHeight="7590" activeTab="0"/>
  </bookViews>
  <sheets>
    <sheet name="Cover Sheet" sheetId="1" r:id="rId1"/>
    <sheet name="Main Model" sheetId="2" r:id="rId2"/>
    <sheet name="Boat Problem Doc" sheetId="3" r:id="rId3"/>
    <sheet name="Boat Problem Exit" sheetId="4" r:id="rId4"/>
    <sheet name="Boat Problem Equal" sheetId="5" r:id="rId5"/>
    <sheet name="Boat Problem Doc Depth" sheetId="6" r:id="rId6"/>
    <sheet name="Typical Marina" sheetId="7" r:id="rId7"/>
  </sheets>
  <definedNames>
    <definedName name="solver_acc" localSheetId="2" hidden="1">0.001</definedName>
    <definedName name="solver_acc" localSheetId="5" hidden="1">0.001</definedName>
    <definedName name="solver_acc" localSheetId="4" hidden="1">0.001</definedName>
    <definedName name="solver_acc" localSheetId="3" hidden="1">0.001</definedName>
    <definedName name="solver_acc" localSheetId="1" hidden="1">0.001</definedName>
    <definedName name="solver_acc" localSheetId="6" hidden="1">0.001</definedName>
    <definedName name="solver_adj" localSheetId="2" hidden="1">'Boat Problem Doc'!$C$29:$T$30</definedName>
    <definedName name="solver_adj" localSheetId="5" hidden="1">'Boat Problem Doc Depth'!$C$29:$T$30</definedName>
    <definedName name="solver_adj" localSheetId="4" hidden="1">'Boat Problem Equal'!$C$29:$T$30</definedName>
    <definedName name="solver_adj" localSheetId="3" hidden="1">'Boat Problem Exit'!$C$29:$T$30</definedName>
    <definedName name="solver_adj" localSheetId="1" hidden="1">'Main Model'!$C$29:$T$30</definedName>
    <definedName name="solver_adj" localSheetId="6" hidden="1">'Typical Marina'!$C$29:$T$30</definedName>
    <definedName name="solver_ars" localSheetId="2" hidden="1">1</definedName>
    <definedName name="solver_ars" localSheetId="5" hidden="1">1</definedName>
    <definedName name="solver_ars" localSheetId="4" hidden="1">1</definedName>
    <definedName name="solver_ars" localSheetId="3" hidden="1">1</definedName>
    <definedName name="solver_ars" localSheetId="1" hidden="1">1</definedName>
    <definedName name="solver_ars" localSheetId="6" hidden="1">1</definedName>
    <definedName name="solver_cir1" localSheetId="2" hidden="1">1</definedName>
    <definedName name="solver_cir1" localSheetId="5" hidden="1">1</definedName>
    <definedName name="solver_cir1" localSheetId="4" hidden="1">1</definedName>
    <definedName name="solver_cir1" localSheetId="3" hidden="1">1</definedName>
    <definedName name="solver_cir1" localSheetId="1" hidden="1">1</definedName>
    <definedName name="solver_cir1" localSheetId="6" hidden="1">1</definedName>
    <definedName name="solver_cir10" localSheetId="2" hidden="1">1</definedName>
    <definedName name="solver_cir10" localSheetId="5" hidden="1">1</definedName>
    <definedName name="solver_cir10" localSheetId="4" hidden="1">1</definedName>
    <definedName name="solver_cir10" localSheetId="3" hidden="1">1</definedName>
    <definedName name="solver_cir10" localSheetId="1" hidden="1">1</definedName>
    <definedName name="solver_cir10" localSheetId="6" hidden="1">1</definedName>
    <definedName name="solver_cir11" localSheetId="2" hidden="1">1</definedName>
    <definedName name="solver_cir11" localSheetId="5" hidden="1">1</definedName>
    <definedName name="solver_cir11" localSheetId="4" hidden="1">1</definedName>
    <definedName name="solver_cir11" localSheetId="3" hidden="1">1</definedName>
    <definedName name="solver_cir11" localSheetId="1" hidden="1">1</definedName>
    <definedName name="solver_cir11" localSheetId="6" hidden="1">1</definedName>
    <definedName name="solver_cir12" localSheetId="2" hidden="1">1</definedName>
    <definedName name="solver_cir12" localSheetId="5" hidden="1">1</definedName>
    <definedName name="solver_cir12" localSheetId="4" hidden="1">1</definedName>
    <definedName name="solver_cir12" localSheetId="3" hidden="1">1</definedName>
    <definedName name="solver_cir12" localSheetId="1" hidden="1">1</definedName>
    <definedName name="solver_cir12" localSheetId="6" hidden="1">1</definedName>
    <definedName name="solver_cir13" localSheetId="2" hidden="1">1</definedName>
    <definedName name="solver_cir13" localSheetId="5" hidden="1">1</definedName>
    <definedName name="solver_cir13" localSheetId="4" hidden="1">1</definedName>
    <definedName name="solver_cir13" localSheetId="3" hidden="1">1</definedName>
    <definedName name="solver_cir13" localSheetId="1" hidden="1">1</definedName>
    <definedName name="solver_cir13" localSheetId="6" hidden="1">1</definedName>
    <definedName name="solver_cir14" localSheetId="2" hidden="1">1</definedName>
    <definedName name="solver_cir14" localSheetId="5" hidden="1">1</definedName>
    <definedName name="solver_cir14" localSheetId="4" hidden="1">1</definedName>
    <definedName name="solver_cir14" localSheetId="3" hidden="1">1</definedName>
    <definedName name="solver_cir14" localSheetId="1" hidden="1">1</definedName>
    <definedName name="solver_cir14" localSheetId="6" hidden="1">1</definedName>
    <definedName name="solver_cir15" localSheetId="2" hidden="1">1</definedName>
    <definedName name="solver_cir15" localSheetId="5" hidden="1">1</definedName>
    <definedName name="solver_cir15" localSheetId="4" hidden="1">1</definedName>
    <definedName name="solver_cir15" localSheetId="3" hidden="1">1</definedName>
    <definedName name="solver_cir15" localSheetId="1" hidden="1">1</definedName>
    <definedName name="solver_cir15" localSheetId="6" hidden="1">1</definedName>
    <definedName name="solver_cir16" localSheetId="2" hidden="1">1</definedName>
    <definedName name="solver_cir16" localSheetId="5" hidden="1">1</definedName>
    <definedName name="solver_cir16" localSheetId="4" hidden="1">1</definedName>
    <definedName name="solver_cir16" localSheetId="3" hidden="1">1</definedName>
    <definedName name="solver_cir16" localSheetId="1" hidden="1">1</definedName>
    <definedName name="solver_cir16" localSheetId="6" hidden="1">1</definedName>
    <definedName name="solver_cir17" localSheetId="2" hidden="1">1</definedName>
    <definedName name="solver_cir17" localSheetId="5" hidden="1">1</definedName>
    <definedName name="solver_cir17" localSheetId="4" hidden="1">1</definedName>
    <definedName name="solver_cir17" localSheetId="3" hidden="1">1</definedName>
    <definedName name="solver_cir17" localSheetId="1" hidden="1">1</definedName>
    <definedName name="solver_cir17" localSheetId="6" hidden="1">1</definedName>
    <definedName name="solver_cir18" localSheetId="2" hidden="1">1</definedName>
    <definedName name="solver_cir18" localSheetId="5" hidden="1">1</definedName>
    <definedName name="solver_cir18" localSheetId="4" hidden="1">1</definedName>
    <definedName name="solver_cir18" localSheetId="3" hidden="1">1</definedName>
    <definedName name="solver_cir18" localSheetId="1" hidden="1">1</definedName>
    <definedName name="solver_cir18" localSheetId="6" hidden="1">1</definedName>
    <definedName name="solver_cir19" localSheetId="2" hidden="1">1</definedName>
    <definedName name="solver_cir19" localSheetId="5" hidden="1">1</definedName>
    <definedName name="solver_cir19" localSheetId="4" hidden="1">1</definedName>
    <definedName name="solver_cir19" localSheetId="3" hidden="1">1</definedName>
    <definedName name="solver_cir19" localSheetId="1" hidden="1">1</definedName>
    <definedName name="solver_cir19" localSheetId="6" hidden="1">1</definedName>
    <definedName name="solver_cir2" localSheetId="2" hidden="1">1</definedName>
    <definedName name="solver_cir2" localSheetId="5" hidden="1">1</definedName>
    <definedName name="solver_cir2" localSheetId="4" hidden="1">1</definedName>
    <definedName name="solver_cir2" localSheetId="3" hidden="1">1</definedName>
    <definedName name="solver_cir2" localSheetId="1" hidden="1">1</definedName>
    <definedName name="solver_cir2" localSheetId="6" hidden="1">1</definedName>
    <definedName name="solver_cir20" localSheetId="2" hidden="1">1</definedName>
    <definedName name="solver_cir20" localSheetId="5" hidden="1">1</definedName>
    <definedName name="solver_cir20" localSheetId="4" hidden="1">1</definedName>
    <definedName name="solver_cir20" localSheetId="3" hidden="1">1</definedName>
    <definedName name="solver_cir20" localSheetId="1" hidden="1">1</definedName>
    <definedName name="solver_cir20" localSheetId="6" hidden="1">1</definedName>
    <definedName name="solver_cir21" localSheetId="2" hidden="1">1</definedName>
    <definedName name="solver_cir21" localSheetId="5" hidden="1">1</definedName>
    <definedName name="solver_cir21" localSheetId="4" hidden="1">1</definedName>
    <definedName name="solver_cir21" localSheetId="3" hidden="1">1</definedName>
    <definedName name="solver_cir21" localSheetId="1" hidden="1">1</definedName>
    <definedName name="solver_cir21" localSheetId="6" hidden="1">1</definedName>
    <definedName name="solver_cir22" localSheetId="2" hidden="1">1</definedName>
    <definedName name="solver_cir22" localSheetId="5" hidden="1">1</definedName>
    <definedName name="solver_cir22" localSheetId="4" hidden="1">1</definedName>
    <definedName name="solver_cir22" localSheetId="3" hidden="1">1</definedName>
    <definedName name="solver_cir22" localSheetId="1" hidden="1">1</definedName>
    <definedName name="solver_cir22" localSheetId="6" hidden="1">1</definedName>
    <definedName name="solver_cir23" localSheetId="2" hidden="1">1</definedName>
    <definedName name="solver_cir23" localSheetId="5" hidden="1">1</definedName>
    <definedName name="solver_cir23" localSheetId="4" hidden="1">1</definedName>
    <definedName name="solver_cir23" localSheetId="3" hidden="1">1</definedName>
    <definedName name="solver_cir23" localSheetId="1" hidden="1">1</definedName>
    <definedName name="solver_cir23" localSheetId="6" hidden="1">1</definedName>
    <definedName name="solver_cir24" localSheetId="2" hidden="1">1</definedName>
    <definedName name="solver_cir24" localSheetId="5" hidden="1">1</definedName>
    <definedName name="solver_cir24" localSheetId="4" hidden="1">1</definedName>
    <definedName name="solver_cir24" localSheetId="3" hidden="1">1</definedName>
    <definedName name="solver_cir24" localSheetId="1" hidden="1">1</definedName>
    <definedName name="solver_cir24" localSheetId="6" hidden="1">1</definedName>
    <definedName name="solver_cir25" localSheetId="2" hidden="1">1</definedName>
    <definedName name="solver_cir25" localSheetId="5" hidden="1">1</definedName>
    <definedName name="solver_cir25" localSheetId="4" hidden="1">1</definedName>
    <definedName name="solver_cir25" localSheetId="3" hidden="1">1</definedName>
    <definedName name="solver_cir25" localSheetId="1" hidden="1">1</definedName>
    <definedName name="solver_cir25" localSheetId="6" hidden="1">1</definedName>
    <definedName name="solver_cir26" localSheetId="2" hidden="1">1</definedName>
    <definedName name="solver_cir26" localSheetId="5" hidden="1">1</definedName>
    <definedName name="solver_cir26" localSheetId="4" hidden="1">1</definedName>
    <definedName name="solver_cir26" localSheetId="3" hidden="1">1</definedName>
    <definedName name="solver_cir26" localSheetId="1" hidden="1">1</definedName>
    <definedName name="solver_cir26" localSheetId="6" hidden="1">1</definedName>
    <definedName name="solver_cir27" localSheetId="2" hidden="1">1</definedName>
    <definedName name="solver_cir27" localSheetId="5" hidden="1">1</definedName>
    <definedName name="solver_cir27" localSheetId="4" hidden="1">1</definedName>
    <definedName name="solver_cir27" localSheetId="3" hidden="1">1</definedName>
    <definedName name="solver_cir27" localSheetId="1" hidden="1">1</definedName>
    <definedName name="solver_cir27" localSheetId="6" hidden="1">1</definedName>
    <definedName name="solver_cir28" localSheetId="2" hidden="1">1</definedName>
    <definedName name="solver_cir28" localSheetId="5" hidden="1">1</definedName>
    <definedName name="solver_cir28" localSheetId="4" hidden="1">1</definedName>
    <definedName name="solver_cir28" localSheetId="3" hidden="1">1</definedName>
    <definedName name="solver_cir28" localSheetId="1" hidden="1">1</definedName>
    <definedName name="solver_cir28" localSheetId="6" hidden="1">1</definedName>
    <definedName name="solver_cir3" localSheetId="2" hidden="1">1</definedName>
    <definedName name="solver_cir3" localSheetId="5" hidden="1">1</definedName>
    <definedName name="solver_cir3" localSheetId="4" hidden="1">1</definedName>
    <definedName name="solver_cir3" localSheetId="3" hidden="1">1</definedName>
    <definedName name="solver_cir3" localSheetId="1" hidden="1">1</definedName>
    <definedName name="solver_cir3" localSheetId="6" hidden="1">1</definedName>
    <definedName name="solver_cir4" localSheetId="2" hidden="1">1</definedName>
    <definedName name="solver_cir4" localSheetId="5" hidden="1">1</definedName>
    <definedName name="solver_cir4" localSheetId="4" hidden="1">1</definedName>
    <definedName name="solver_cir4" localSheetId="3" hidden="1">1</definedName>
    <definedName name="solver_cir4" localSheetId="1" hidden="1">1</definedName>
    <definedName name="solver_cir4" localSheetId="6" hidden="1">1</definedName>
    <definedName name="solver_cir5" localSheetId="2" hidden="1">1</definedName>
    <definedName name="solver_cir5" localSheetId="5" hidden="1">1</definedName>
    <definedName name="solver_cir5" localSheetId="4" hidden="1">1</definedName>
    <definedName name="solver_cir5" localSheetId="3" hidden="1">1</definedName>
    <definedName name="solver_cir5" localSheetId="1" hidden="1">1</definedName>
    <definedName name="solver_cir5" localSheetId="6" hidden="1">1</definedName>
    <definedName name="solver_cir6" localSheetId="2" hidden="1">1</definedName>
    <definedName name="solver_cir6" localSheetId="5" hidden="1">1</definedName>
    <definedName name="solver_cir6" localSheetId="4" hidden="1">1</definedName>
    <definedName name="solver_cir6" localSheetId="3" hidden="1">1</definedName>
    <definedName name="solver_cir6" localSheetId="1" hidden="1">1</definedName>
    <definedName name="solver_cir6" localSheetId="6" hidden="1">1</definedName>
    <definedName name="solver_cir7" localSheetId="2" hidden="1">1</definedName>
    <definedName name="solver_cir7" localSheetId="5" hidden="1">1</definedName>
    <definedName name="solver_cir7" localSheetId="4" hidden="1">1</definedName>
    <definedName name="solver_cir7" localSheetId="3" hidden="1">1</definedName>
    <definedName name="solver_cir7" localSheetId="1" hidden="1">1</definedName>
    <definedName name="solver_cir7" localSheetId="6" hidden="1">1</definedName>
    <definedName name="solver_cir8" localSheetId="2" hidden="1">1</definedName>
    <definedName name="solver_cir8" localSheetId="5" hidden="1">1</definedName>
    <definedName name="solver_cir8" localSheetId="4" hidden="1">1</definedName>
    <definedName name="solver_cir8" localSheetId="3" hidden="1">1</definedName>
    <definedName name="solver_cir8" localSheetId="1" hidden="1">1</definedName>
    <definedName name="solver_cir8" localSheetId="6" hidden="1">1</definedName>
    <definedName name="solver_cir9" localSheetId="2" hidden="1">1</definedName>
    <definedName name="solver_cir9" localSheetId="5" hidden="1">1</definedName>
    <definedName name="solver_cir9" localSheetId="4" hidden="1">1</definedName>
    <definedName name="solver_cir9" localSheetId="3" hidden="1">1</definedName>
    <definedName name="solver_cir9" localSheetId="1" hidden="1">1</definedName>
    <definedName name="solver_cir9" localSheetId="6" hidden="1">1</definedName>
    <definedName name="solver_cvg" localSheetId="2" hidden="1">0.0005</definedName>
    <definedName name="solver_cvg" localSheetId="5" hidden="1">0.000005</definedName>
    <definedName name="solver_cvg" localSheetId="4" hidden="1">0.0005</definedName>
    <definedName name="solver_cvg" localSheetId="3" hidden="1">0.0005</definedName>
    <definedName name="solver_cvg" localSheetId="1" hidden="1">0.000005</definedName>
    <definedName name="solver_cvg" localSheetId="6" hidden="1">0.0005</definedName>
    <definedName name="solver_dia" localSheetId="2" hidden="1">4</definedName>
    <definedName name="solver_dia" localSheetId="5" hidden="1">4</definedName>
    <definedName name="solver_dia" localSheetId="4" hidden="1">4</definedName>
    <definedName name="solver_dia" localSheetId="3" hidden="1">4</definedName>
    <definedName name="solver_dia" localSheetId="1" hidden="1">4</definedName>
    <definedName name="solver_dia" localSheetId="6" hidden="1">4</definedName>
    <definedName name="solver_drv" localSheetId="2" hidden="1">1</definedName>
    <definedName name="solver_drv" localSheetId="5" hidden="1">1</definedName>
    <definedName name="solver_drv" localSheetId="4" hidden="1">1</definedName>
    <definedName name="solver_drv" localSheetId="3" hidden="1">1</definedName>
    <definedName name="solver_drv" localSheetId="1" hidden="1">1</definedName>
    <definedName name="solver_drv" localSheetId="6" hidden="1">1</definedName>
    <definedName name="solver_dua" localSheetId="2" hidden="1">1</definedName>
    <definedName name="solver_dua" localSheetId="5" hidden="1">1</definedName>
    <definedName name="solver_dua" localSheetId="4" hidden="1">1</definedName>
    <definedName name="solver_dua" localSheetId="3" hidden="1">1</definedName>
    <definedName name="solver_dua" localSheetId="1" hidden="1">1</definedName>
    <definedName name="solver_dua" localSheetId="6" hidden="1">1</definedName>
    <definedName name="solver_eng" localSheetId="2" hidden="1">1</definedName>
    <definedName name="solver_eng" localSheetId="5" hidden="1">1</definedName>
    <definedName name="solver_eng" localSheetId="4" hidden="1">1</definedName>
    <definedName name="solver_eng" localSheetId="3" hidden="1">1</definedName>
    <definedName name="solver_eng" localSheetId="1" hidden="1">1</definedName>
    <definedName name="solver_eng" localSheetId="6" hidden="1">3</definedName>
    <definedName name="solver_est" localSheetId="2" hidden="1">2</definedName>
    <definedName name="solver_est" localSheetId="5" hidden="1">1</definedName>
    <definedName name="solver_est" localSheetId="4" hidden="1">1</definedName>
    <definedName name="solver_est" localSheetId="3" hidden="1">1</definedName>
    <definedName name="solver_est" localSheetId="1" hidden="1">1</definedName>
    <definedName name="solver_est" localSheetId="6" hidden="1">2</definedName>
    <definedName name="solver_iao" localSheetId="2" hidden="1">0</definedName>
    <definedName name="solver_iao" localSheetId="5" hidden="1">0</definedName>
    <definedName name="solver_iao" localSheetId="4" hidden="1">0</definedName>
    <definedName name="solver_iao" localSheetId="3" hidden="1">0</definedName>
    <definedName name="solver_iao" localSheetId="1" hidden="1">0</definedName>
    <definedName name="solver_iao" localSheetId="6" hidden="1">0</definedName>
    <definedName name="solver_ibd" localSheetId="2" hidden="1">2</definedName>
    <definedName name="solver_ibd" localSheetId="5" hidden="1">2</definedName>
    <definedName name="solver_ibd" localSheetId="4" hidden="1">2</definedName>
    <definedName name="solver_ibd" localSheetId="3" hidden="1">2</definedName>
    <definedName name="solver_ibd" localSheetId="1" hidden="1">2</definedName>
    <definedName name="solver_ibd" localSheetId="6" hidden="1">2</definedName>
    <definedName name="solver_ifs" localSheetId="2" hidden="1">0</definedName>
    <definedName name="solver_ifs" localSheetId="5" hidden="1">0</definedName>
    <definedName name="solver_ifs" localSheetId="4" hidden="1">0</definedName>
    <definedName name="solver_ifs" localSheetId="3" hidden="1">0</definedName>
    <definedName name="solver_ifs" localSheetId="1" hidden="1">0</definedName>
    <definedName name="solver_ifs" localSheetId="6" hidden="1">0</definedName>
    <definedName name="solver_irs" localSheetId="2" hidden="1">1</definedName>
    <definedName name="solver_irs" localSheetId="5" hidden="1">1</definedName>
    <definedName name="solver_irs" localSheetId="4" hidden="1">1</definedName>
    <definedName name="solver_irs" localSheetId="3" hidden="1">1</definedName>
    <definedName name="solver_irs" localSheetId="1" hidden="1">1</definedName>
    <definedName name="solver_irs" localSheetId="6" hidden="1">1</definedName>
    <definedName name="solver_ism" localSheetId="2" hidden="1">0</definedName>
    <definedName name="solver_ism" localSheetId="5" hidden="1">0</definedName>
    <definedName name="solver_ism" localSheetId="4" hidden="1">0</definedName>
    <definedName name="solver_ism" localSheetId="3" hidden="1">0</definedName>
    <definedName name="solver_ism" localSheetId="1" hidden="1">0</definedName>
    <definedName name="solver_ism" localSheetId="6" hidden="1">0</definedName>
    <definedName name="solver_itr" localSheetId="2" hidden="1">100000</definedName>
    <definedName name="solver_itr" localSheetId="5" hidden="1">10000</definedName>
    <definedName name="solver_itr" localSheetId="4" hidden="1">10000</definedName>
    <definedName name="solver_itr" localSheetId="3" hidden="1">10000</definedName>
    <definedName name="solver_itr" localSheetId="1" hidden="1">10000</definedName>
    <definedName name="solver_itr" localSheetId="6" hidden="1">10000</definedName>
    <definedName name="solver_lhs1" localSheetId="2" hidden="1">'Boat Problem Doc'!$C$29:$T$29</definedName>
    <definedName name="solver_lhs1" localSheetId="5" hidden="1">'Boat Problem Doc Depth'!$C$29:$T$29</definedName>
    <definedName name="solver_lhs1" localSheetId="4" hidden="1">'Boat Problem Equal'!$C$29:$T$29</definedName>
    <definedName name="solver_lhs1" localSheetId="3" hidden="1">'Boat Problem Exit'!$C$29:$T$29</definedName>
    <definedName name="solver_lhs1" localSheetId="1" hidden="1">'Main Model'!$C$29:$T$29</definedName>
    <definedName name="solver_lhs1" localSheetId="6" hidden="1">'Typical Marina'!$C$29:$T$29</definedName>
    <definedName name="solver_lhs10" localSheetId="2" hidden="1">'Boat Problem Doc'!$D$43</definedName>
    <definedName name="solver_lhs10" localSheetId="5" hidden="1">'Boat Problem Doc Depth'!$D$43</definedName>
    <definedName name="solver_lhs10" localSheetId="4" hidden="1">'Boat Problem Equal'!$D$43</definedName>
    <definedName name="solver_lhs10" localSheetId="3" hidden="1">'Boat Problem Exit'!$D$43</definedName>
    <definedName name="solver_lhs10" localSheetId="1" hidden="1">'Main Model'!$D$43</definedName>
    <definedName name="solver_lhs10" localSheetId="6" hidden="1">'Typical Marina'!$D$43</definedName>
    <definedName name="solver_lhs11" localSheetId="2" hidden="1">'Boat Problem Doc'!$E$43:$E$44</definedName>
    <definedName name="solver_lhs11" localSheetId="5" hidden="1">'Boat Problem Doc Depth'!$E$43:$E$44</definedName>
    <definedName name="solver_lhs11" localSheetId="4" hidden="1">'Boat Problem Equal'!$E$43:$E$44</definedName>
    <definedName name="solver_lhs11" localSheetId="3" hidden="1">'Boat Problem Exit'!$E$43:$E$44</definedName>
    <definedName name="solver_lhs11" localSheetId="1" hidden="1">'Main Model'!$E$43:$E$44</definedName>
    <definedName name="solver_lhs11" localSheetId="6" hidden="1">'Typical Marina'!$E$43:$E$44</definedName>
    <definedName name="solver_lhs12" localSheetId="2" hidden="1">'Boat Problem Doc'!$F$43:$F$45</definedName>
    <definedName name="solver_lhs12" localSheetId="5" hidden="1">'Boat Problem Doc Depth'!$F$43:$F$45</definedName>
    <definedName name="solver_lhs12" localSheetId="4" hidden="1">'Boat Problem Equal'!$F$43:$F$45</definedName>
    <definedName name="solver_lhs12" localSheetId="3" hidden="1">'Boat Problem Exit'!$F$43:$F$45</definedName>
    <definedName name="solver_lhs12" localSheetId="1" hidden="1">'Main Model'!$F$43:$F$45</definedName>
    <definedName name="solver_lhs12" localSheetId="6" hidden="1">'Typical Marina'!$F$43:$F$45</definedName>
    <definedName name="solver_lhs13" localSheetId="2" hidden="1">'Boat Problem Doc'!$G$43:$G$46</definedName>
    <definedName name="solver_lhs13" localSheetId="5" hidden="1">'Boat Problem Doc Depth'!$G$43:$G$46</definedName>
    <definedName name="solver_lhs13" localSheetId="4" hidden="1">'Boat Problem Equal'!$G$43:$G$46</definedName>
    <definedName name="solver_lhs13" localSheetId="3" hidden="1">'Boat Problem Exit'!$G$43:$G$46</definedName>
    <definedName name="solver_lhs13" localSheetId="1" hidden="1">'Main Model'!$G$43:$G$46</definedName>
    <definedName name="solver_lhs13" localSheetId="6" hidden="1">'Typical Marina'!$G$43:$G$46</definedName>
    <definedName name="solver_lhs14" localSheetId="2" hidden="1">'Boat Problem Doc'!$H$43:$H$47</definedName>
    <definedName name="solver_lhs14" localSheetId="5" hidden="1">'Boat Problem Doc Depth'!$H$43:$H$47</definedName>
    <definedName name="solver_lhs14" localSheetId="4" hidden="1">'Boat Problem Equal'!$H$43:$H$47</definedName>
    <definedName name="solver_lhs14" localSheetId="3" hidden="1">'Boat Problem Exit'!$H$43:$H$47</definedName>
    <definedName name="solver_lhs14" localSheetId="1" hidden="1">'Main Model'!$H$43:$H$47</definedName>
    <definedName name="solver_lhs14" localSheetId="6" hidden="1">'Typical Marina'!$H$43:$H$47</definedName>
    <definedName name="solver_lhs15" localSheetId="2" hidden="1">'Boat Problem Doc'!$I$43:$I$48</definedName>
    <definedName name="solver_lhs15" localSheetId="5" hidden="1">'Boat Problem Doc Depth'!$I$43:$I$48</definedName>
    <definedName name="solver_lhs15" localSheetId="4" hidden="1">'Boat Problem Equal'!$I$43:$I$48</definedName>
    <definedName name="solver_lhs15" localSheetId="3" hidden="1">'Boat Problem Exit'!$I$43:$I$48</definedName>
    <definedName name="solver_lhs15" localSheetId="1" hidden="1">'Main Model'!$I$43:$I$48</definedName>
    <definedName name="solver_lhs15" localSheetId="6" hidden="1">'Typical Marina'!$I$43:$I$48</definedName>
    <definedName name="solver_lhs16" localSheetId="2" hidden="1">'Boat Problem Doc'!$J$43:$J$49</definedName>
    <definedName name="solver_lhs16" localSheetId="5" hidden="1">'Boat Problem Doc Depth'!$J$43:$J$49</definedName>
    <definedName name="solver_lhs16" localSheetId="4" hidden="1">'Boat Problem Equal'!$J$43:$J$49</definedName>
    <definedName name="solver_lhs16" localSheetId="3" hidden="1">'Boat Problem Exit'!$J$43:$J$49</definedName>
    <definedName name="solver_lhs16" localSheetId="1" hidden="1">'Main Model'!$J$43:$J$49</definedName>
    <definedName name="solver_lhs16" localSheetId="6" hidden="1">'Typical Marina'!$J$43:$J$49</definedName>
    <definedName name="solver_lhs17" localSheetId="2" hidden="1">'Boat Problem Doc'!$K$43:$K$50</definedName>
    <definedName name="solver_lhs17" localSheetId="5" hidden="1">'Boat Problem Doc Depth'!$K$43:$K$50</definedName>
    <definedName name="solver_lhs17" localSheetId="4" hidden="1">'Boat Problem Equal'!$K$43:$K$50</definedName>
    <definedName name="solver_lhs17" localSheetId="3" hidden="1">'Boat Problem Exit'!$K$43:$K$50</definedName>
    <definedName name="solver_lhs17" localSheetId="1" hidden="1">'Main Model'!$K$43:$K$50</definedName>
    <definedName name="solver_lhs17" localSheetId="6" hidden="1">'Typical Marina'!$K$43:$K$50</definedName>
    <definedName name="solver_lhs18" localSheetId="2" hidden="1">'Boat Problem Doc'!$L$43:$L$51</definedName>
    <definedName name="solver_lhs18" localSheetId="5" hidden="1">'Boat Problem Doc Depth'!$L$43:$L$51</definedName>
    <definedName name="solver_lhs18" localSheetId="4" hidden="1">'Boat Problem Equal'!$L$43:$L$51</definedName>
    <definedName name="solver_lhs18" localSheetId="3" hidden="1">'Boat Problem Exit'!$L$43:$L$51</definedName>
    <definedName name="solver_lhs18" localSheetId="1" hidden="1">'Main Model'!$L$43:$L$51</definedName>
    <definedName name="solver_lhs18" localSheetId="6" hidden="1">'Typical Marina'!$L$43:$L$51</definedName>
    <definedName name="solver_lhs19" localSheetId="2" hidden="1">'Boat Problem Doc'!$M$43:$M$52</definedName>
    <definedName name="solver_lhs19" localSheetId="5" hidden="1">'Boat Problem Doc Depth'!$M$43:$M$52</definedName>
    <definedName name="solver_lhs19" localSheetId="4" hidden="1">'Boat Problem Equal'!$M$43:$M$52</definedName>
    <definedName name="solver_lhs19" localSheetId="3" hidden="1">'Boat Problem Exit'!$M$43:$M$52</definedName>
    <definedName name="solver_lhs19" localSheetId="1" hidden="1">'Main Model'!$M$43:$M$52</definedName>
    <definedName name="solver_lhs19" localSheetId="6" hidden="1">'Typical Marina'!$M$43:$M$52</definedName>
    <definedName name="solver_lhs2" localSheetId="2" hidden="1">'Boat Problem Doc'!$C$29:$T$29</definedName>
    <definedName name="solver_lhs2" localSheetId="5" hidden="1">'Boat Problem Doc Depth'!$C$29:$T$29</definedName>
    <definedName name="solver_lhs2" localSheetId="4" hidden="1">'Boat Problem Equal'!$C$29:$T$29</definedName>
    <definedName name="solver_lhs2" localSheetId="3" hidden="1">'Boat Problem Exit'!$C$29:$T$29</definedName>
    <definedName name="solver_lhs2" localSheetId="1" hidden="1">'Main Model'!$C$29:$T$29</definedName>
    <definedName name="solver_lhs2" localSheetId="6" hidden="1">'Typical Marina'!$C$29:$T$29</definedName>
    <definedName name="solver_lhs20" localSheetId="2" hidden="1">'Boat Problem Doc'!$N$43:$N$53</definedName>
    <definedName name="solver_lhs20" localSheetId="5" hidden="1">'Boat Problem Doc Depth'!$N$43:$N$53</definedName>
    <definedName name="solver_lhs20" localSheetId="4" hidden="1">'Boat Problem Equal'!$N$43:$N$53</definedName>
    <definedName name="solver_lhs20" localSheetId="3" hidden="1">'Boat Problem Exit'!$N$43:$N$53</definedName>
    <definedName name="solver_lhs20" localSheetId="1" hidden="1">'Main Model'!$N$43:$N$53</definedName>
    <definedName name="solver_lhs20" localSheetId="6" hidden="1">'Typical Marina'!$N$43:$N$53</definedName>
    <definedName name="solver_lhs21" localSheetId="2" hidden="1">'Boat Problem Doc'!$O$43:$O$54</definedName>
    <definedName name="solver_lhs21" localSheetId="5" hidden="1">'Boat Problem Doc Depth'!$O$43:$O$54</definedName>
    <definedName name="solver_lhs21" localSheetId="4" hidden="1">'Boat Problem Equal'!$O$43:$O$54</definedName>
    <definedName name="solver_lhs21" localSheetId="3" hidden="1">'Boat Problem Exit'!$O$43:$O$54</definedName>
    <definedName name="solver_lhs21" localSheetId="1" hidden="1">'Main Model'!$O$43:$O$54</definedName>
    <definedName name="solver_lhs21" localSheetId="6" hidden="1">'Typical Marina'!$O$43:$O$54</definedName>
    <definedName name="solver_lhs22" localSheetId="2" hidden="1">'Boat Problem Doc'!$P$43:$P$55</definedName>
    <definedName name="solver_lhs22" localSheetId="5" hidden="1">'Boat Problem Doc Depth'!$P$43:$P$55</definedName>
    <definedName name="solver_lhs22" localSheetId="4" hidden="1">'Boat Problem Equal'!$P$43:$P$55</definedName>
    <definedName name="solver_lhs22" localSheetId="3" hidden="1">'Boat Problem Exit'!$P$43:$P$55</definedName>
    <definedName name="solver_lhs22" localSheetId="1" hidden="1">'Main Model'!$P$43:$P$55</definedName>
    <definedName name="solver_lhs22" localSheetId="6" hidden="1">'Typical Marina'!$P$43:$P$55</definedName>
    <definedName name="solver_lhs23" localSheetId="2" hidden="1">'Boat Problem Doc'!$Q$43:$Q$56</definedName>
    <definedName name="solver_lhs23" localSheetId="5" hidden="1">'Boat Problem Doc Depth'!$Q$43:$Q$56</definedName>
    <definedName name="solver_lhs23" localSheetId="4" hidden="1">'Boat Problem Equal'!$Q$43:$Q$56</definedName>
    <definedName name="solver_lhs23" localSheetId="3" hidden="1">'Boat Problem Exit'!$Q$43:$Q$56</definedName>
    <definedName name="solver_lhs23" localSheetId="1" hidden="1">'Main Model'!$Q$43:$Q$56</definedName>
    <definedName name="solver_lhs23" localSheetId="6" hidden="1">'Typical Marina'!$Q$43:$Q$56</definedName>
    <definedName name="solver_lhs24" localSheetId="2" hidden="1">'Boat Problem Doc'!$R$43:$R$57</definedName>
    <definedName name="solver_lhs24" localSheetId="5" hidden="1">'Boat Problem Doc Depth'!$R$43:$R$57</definedName>
    <definedName name="solver_lhs24" localSheetId="4" hidden="1">'Boat Problem Equal'!$R$43:$R$57</definedName>
    <definedName name="solver_lhs24" localSheetId="3" hidden="1">'Boat Problem Exit'!$R$43:$R$57</definedName>
    <definedName name="solver_lhs24" localSheetId="1" hidden="1">'Main Model'!$R$43:$R$57</definedName>
    <definedName name="solver_lhs24" localSheetId="6" hidden="1">'Typical Marina'!$R$43:$R$57</definedName>
    <definedName name="solver_lhs25" localSheetId="2" hidden="1">'Boat Problem Doc'!$S$43:$S$58</definedName>
    <definedName name="solver_lhs25" localSheetId="5" hidden="1">'Boat Problem Doc Depth'!$S$43:$S$58</definedName>
    <definedName name="solver_lhs25" localSheetId="4" hidden="1">'Boat Problem Equal'!$S$43:$S$58</definedName>
    <definedName name="solver_lhs25" localSheetId="3" hidden="1">'Boat Problem Exit'!$S$43:$S$58</definedName>
    <definedName name="solver_lhs25" localSheetId="1" hidden="1">'Main Model'!$S$43:$S$58</definedName>
    <definedName name="solver_lhs25" localSheetId="6" hidden="1">'Typical Marina'!$S$43:$S$58</definedName>
    <definedName name="solver_lhs26" localSheetId="2" hidden="1">'Boat Problem Doc'!$T$43:$T$59</definedName>
    <definedName name="solver_lhs26" localSheetId="5" hidden="1">'Boat Problem Doc Depth'!$T$43:$T$59</definedName>
    <definedName name="solver_lhs26" localSheetId="4" hidden="1">'Boat Problem Equal'!$T$43:$T$59</definedName>
    <definedName name="solver_lhs26" localSheetId="3" hidden="1">'Boat Problem Exit'!$T$43:$T$59</definedName>
    <definedName name="solver_lhs26" localSheetId="1" hidden="1">'Main Model'!$T$43:$T$59</definedName>
    <definedName name="solver_lhs26" localSheetId="6" hidden="1">'Typical Marina'!$T$43:$T$59</definedName>
    <definedName name="solver_lhs27" localSheetId="2" hidden="1">'Boat Problem Doc'!$U$43:$U$60</definedName>
    <definedName name="solver_lhs27" localSheetId="5" hidden="1">'Boat Problem Doc Depth'!$U$43:$U$60</definedName>
    <definedName name="solver_lhs27" localSheetId="4" hidden="1">'Boat Problem Equal'!$U$43:$U$60</definedName>
    <definedName name="solver_lhs27" localSheetId="3" hidden="1">'Boat Problem Exit'!$U$43:$U$60</definedName>
    <definedName name="solver_lhs27" localSheetId="1" hidden="1">'Main Model'!$U$43:$U$60</definedName>
    <definedName name="solver_lhs27" localSheetId="6" hidden="1">'Typical Marina'!$U$43:$U$60</definedName>
    <definedName name="solver_lhs28" localSheetId="2" hidden="1">'Boat Problem Doc'!$V$43:$V$61</definedName>
    <definedName name="solver_lhs28" localSheetId="5" hidden="1">'Boat Problem Doc Depth'!$V$43:$V$61</definedName>
    <definedName name="solver_lhs28" localSheetId="4" hidden="1">'Boat Problem Equal'!$V$43:$V$61</definedName>
    <definedName name="solver_lhs28" localSheetId="3" hidden="1">'Boat Problem Exit'!$V$43:$V$61</definedName>
    <definedName name="solver_lhs28" localSheetId="1" hidden="1">'Main Model'!$V$43:$V$61</definedName>
    <definedName name="solver_lhs28" localSheetId="6" hidden="1">'Typical Marina'!$V$43:$V$61</definedName>
    <definedName name="solver_lhs3" localSheetId="2" hidden="1">'Boat Problem Doc'!$C$30:$T$30</definedName>
    <definedName name="solver_lhs3" localSheetId="5" hidden="1">'Boat Problem Doc Depth'!$C$30:$T$30</definedName>
    <definedName name="solver_lhs3" localSheetId="4" hidden="1">'Boat Problem Equal'!$C$30:$T$30</definedName>
    <definedName name="solver_lhs3" localSheetId="3" hidden="1">'Boat Problem Exit'!$C$30:$T$30</definedName>
    <definedName name="solver_lhs3" localSheetId="1" hidden="1">'Main Model'!$C$30:$T$30</definedName>
    <definedName name="solver_lhs3" localSheetId="6" hidden="1">'Typical Marina'!$C$30:$T$30</definedName>
    <definedName name="solver_lhs4" localSheetId="2" hidden="1">'Boat Problem Doc'!$C$30:$T$30</definedName>
    <definedName name="solver_lhs4" localSheetId="5" hidden="1">'Boat Problem Doc Depth'!$C$30:$T$30</definedName>
    <definedName name="solver_lhs4" localSheetId="4" hidden="1">'Boat Problem Equal'!$C$30:$T$30</definedName>
    <definedName name="solver_lhs4" localSheetId="3" hidden="1">'Boat Problem Exit'!$C$30:$T$30</definedName>
    <definedName name="solver_lhs4" localSheetId="1" hidden="1">'Main Model'!$C$30:$T$30</definedName>
    <definedName name="solver_lhs4" localSheetId="6" hidden="1">'Typical Marina'!$C$30:$T$30</definedName>
    <definedName name="solver_lhs5" localSheetId="2" hidden="1">'Boat Problem Doc'!$C$67:$T$67</definedName>
    <definedName name="solver_lhs5" localSheetId="5" hidden="1">'Boat Problem Doc Depth'!$C$67:$T$67</definedName>
    <definedName name="solver_lhs5" localSheetId="4" hidden="1">'Boat Problem Equal'!$C$67:$T$67</definedName>
    <definedName name="solver_lhs5" localSheetId="3" hidden="1">'Boat Problem Exit'!$C$67:$T$67</definedName>
    <definedName name="solver_lhs5" localSheetId="1" hidden="1">'Main Model'!$C$67:$T$67</definedName>
    <definedName name="solver_lhs5" localSheetId="6" hidden="1">'Typical Marina'!$C$67:$T$67</definedName>
    <definedName name="solver_lhs6" localSheetId="2" hidden="1">'Boat Problem Doc'!$C$71:$T$71</definedName>
    <definedName name="solver_lhs6" localSheetId="5" hidden="1">'Boat Problem Doc Depth'!$C$71:$T$71</definedName>
    <definedName name="solver_lhs6" localSheetId="4" hidden="1">'Boat Problem Equal'!$C$71:$T$71</definedName>
    <definedName name="solver_lhs6" localSheetId="3" hidden="1">'Boat Problem Exit'!$C$71:$T$71</definedName>
    <definedName name="solver_lhs6" localSheetId="1" hidden="1">'Main Model'!$C$71:$T$71</definedName>
    <definedName name="solver_lhs6" localSheetId="6" hidden="1">'Typical Marina'!$C$71:$T$71</definedName>
    <definedName name="solver_lhs7" localSheetId="2" hidden="1">'Boat Problem Doc'!$C$75:$T$75</definedName>
    <definedName name="solver_lhs7" localSheetId="5" hidden="1">'Boat Problem Doc Depth'!$C$75:$T$75</definedName>
    <definedName name="solver_lhs7" localSheetId="4" hidden="1">'Boat Problem Equal'!$C$75:$T$75</definedName>
    <definedName name="solver_lhs7" localSheetId="3" hidden="1">'Boat Problem Exit'!$C$75:$T$75</definedName>
    <definedName name="solver_lhs7" localSheetId="1" hidden="1">'Main Model'!$C$75:$T$75</definedName>
    <definedName name="solver_lhs7" localSheetId="6" hidden="1">'Typical Marina'!$C$75:$T$75</definedName>
    <definedName name="solver_lhs8" localSheetId="2" hidden="1">'Boat Problem Doc'!$C$79:$T$79</definedName>
    <definedName name="solver_lhs8" localSheetId="5" hidden="1">'Boat Problem Doc Depth'!$C$79:$T$79</definedName>
    <definedName name="solver_lhs8" localSheetId="4" hidden="1">'Boat Problem Equal'!$C$79:$T$79</definedName>
    <definedName name="solver_lhs8" localSheetId="3" hidden="1">'Boat Problem Exit'!$C$79:$T$79</definedName>
    <definedName name="solver_lhs8" localSheetId="1" hidden="1">'Main Model'!$C$79:$T$79</definedName>
    <definedName name="solver_lhs8" localSheetId="6" hidden="1">'Typical Marina'!$C$79:$T$79</definedName>
    <definedName name="solver_lhs9" localSheetId="2" hidden="1">'Boat Problem Doc'!$C$86:$T$86</definedName>
    <definedName name="solver_lhs9" localSheetId="5" hidden="1">'Boat Problem Doc Depth'!$C$86:$T$86</definedName>
    <definedName name="solver_lhs9" localSheetId="4" hidden="1">'Boat Problem Equal'!$C$86:$T$86</definedName>
    <definedName name="solver_lhs9" localSheetId="3" hidden="1">'Boat Problem Exit'!$C$86:$T$86</definedName>
    <definedName name="solver_lhs9" localSheetId="1" hidden="1">'Main Model'!$C$86:$T$86</definedName>
    <definedName name="solver_lhs9" localSheetId="6" hidden="1">'Typical Marina'!$C$86:$T$86</definedName>
    <definedName name="solver_lin" localSheetId="2" hidden="1">2</definedName>
    <definedName name="solver_lin" localSheetId="5" hidden="1">2</definedName>
    <definedName name="solver_lin" localSheetId="4" hidden="1">2</definedName>
    <definedName name="solver_lin" localSheetId="3" hidden="1">2</definedName>
    <definedName name="solver_lin" localSheetId="1" hidden="1">2</definedName>
    <definedName name="solver_lin" localSheetId="6" hidden="1">2</definedName>
    <definedName name="solver_loc" localSheetId="2" hidden="1">3</definedName>
    <definedName name="solver_loc" localSheetId="5" hidden="1">4</definedName>
    <definedName name="solver_loc" localSheetId="4" hidden="1">4</definedName>
    <definedName name="solver_loc" localSheetId="3" hidden="1">4</definedName>
    <definedName name="solver_loc" localSheetId="1" hidden="1">4</definedName>
    <definedName name="solver_loc" localSheetId="6" hidden="1">3</definedName>
    <definedName name="solver_lpp" localSheetId="2" hidden="1">0</definedName>
    <definedName name="solver_lpp" localSheetId="5" hidden="1">0</definedName>
    <definedName name="solver_lpp" localSheetId="4" hidden="1">0</definedName>
    <definedName name="solver_lpp" localSheetId="3" hidden="1">0</definedName>
    <definedName name="solver_lpp" localSheetId="1" hidden="1">0</definedName>
    <definedName name="solver_lpp" localSheetId="6" hidden="1">0</definedName>
    <definedName name="solver_lpt" localSheetId="2" hidden="1">0</definedName>
    <definedName name="solver_lpt" localSheetId="5" hidden="1">0</definedName>
    <definedName name="solver_lpt" localSheetId="4" hidden="1">0</definedName>
    <definedName name="solver_lpt" localSheetId="3" hidden="1">0</definedName>
    <definedName name="solver_lpt" localSheetId="1" hidden="1">0</definedName>
    <definedName name="solver_lpt" localSheetId="6" hidden="1">0</definedName>
    <definedName name="solver_lva" localSheetId="2" hidden="1">2</definedName>
    <definedName name="solver_lva" localSheetId="5" hidden="1">2</definedName>
    <definedName name="solver_lva" localSheetId="4" hidden="1">2</definedName>
    <definedName name="solver_lva" localSheetId="3" hidden="1">2</definedName>
    <definedName name="solver_lva" localSheetId="1" hidden="1">2</definedName>
    <definedName name="solver_lva" localSheetId="6" hidden="1">2</definedName>
    <definedName name="solver_met" localSheetId="2" hidden="1">1</definedName>
    <definedName name="solver_met" localSheetId="5" hidden="1">1</definedName>
    <definedName name="solver_met" localSheetId="4" hidden="1">1</definedName>
    <definedName name="solver_met" localSheetId="3" hidden="1">1</definedName>
    <definedName name="solver_met" localSheetId="1" hidden="1">1</definedName>
    <definedName name="solver_met" localSheetId="6" hidden="1">1</definedName>
    <definedName name="solver_mip" localSheetId="2" hidden="1">100000</definedName>
    <definedName name="solver_mip" localSheetId="5" hidden="1">100000</definedName>
    <definedName name="solver_mip" localSheetId="4" hidden="1">100000</definedName>
    <definedName name="solver_mip" localSheetId="3" hidden="1">100000</definedName>
    <definedName name="solver_mip" localSheetId="1" hidden="1">100000</definedName>
    <definedName name="solver_mip" localSheetId="6" hidden="1">100000</definedName>
    <definedName name="solver_mni" localSheetId="2" hidden="1">10000</definedName>
    <definedName name="solver_mni" localSheetId="5" hidden="1">1000</definedName>
    <definedName name="solver_mni" localSheetId="4" hidden="1">1000</definedName>
    <definedName name="solver_mni" localSheetId="3" hidden="1">1000</definedName>
    <definedName name="solver_mni" localSheetId="1" hidden="1">1000</definedName>
    <definedName name="solver_mni" localSheetId="6" hidden="1">10000</definedName>
    <definedName name="solver_mod" localSheetId="2" hidden="1">4</definedName>
    <definedName name="solver_mod" localSheetId="5" hidden="1">4</definedName>
    <definedName name="solver_mod" localSheetId="4" hidden="1">3</definedName>
    <definedName name="solver_mod" localSheetId="3" hidden="1">4</definedName>
    <definedName name="solver_mod" localSheetId="1" hidden="1">4</definedName>
    <definedName name="solver_mod" localSheetId="6" hidden="1">4</definedName>
    <definedName name="solver_mrt" localSheetId="2" hidden="1">0.09</definedName>
    <definedName name="solver_mrt" localSheetId="5" hidden="1">0.01</definedName>
    <definedName name="solver_mrt" localSheetId="4" hidden="1">0.01</definedName>
    <definedName name="solver_mrt" localSheetId="3" hidden="1">0.01</definedName>
    <definedName name="solver_mrt" localSheetId="1" hidden="1">0.01</definedName>
    <definedName name="solver_mrt" localSheetId="6" hidden="1">0.09</definedName>
    <definedName name="solver_msl" localSheetId="2" hidden="1">1</definedName>
    <definedName name="solver_msl" localSheetId="5" hidden="1">1</definedName>
    <definedName name="solver_msl" localSheetId="4" hidden="1">1</definedName>
    <definedName name="solver_msl" localSheetId="3" hidden="1">1</definedName>
    <definedName name="solver_msl" localSheetId="1" hidden="1">1</definedName>
    <definedName name="solver_msl" localSheetId="6" hidden="1">1</definedName>
    <definedName name="solver_neg" localSheetId="2" hidden="1">1</definedName>
    <definedName name="solver_neg" localSheetId="5" hidden="1">1</definedName>
    <definedName name="solver_neg" localSheetId="4" hidden="1">1</definedName>
    <definedName name="solver_neg" localSheetId="3" hidden="1">1</definedName>
    <definedName name="solver_neg" localSheetId="1" hidden="1">1</definedName>
    <definedName name="solver_neg" localSheetId="6" hidden="1">1</definedName>
    <definedName name="solver_nod" localSheetId="2" hidden="1">100000</definedName>
    <definedName name="solver_nod" localSheetId="5" hidden="1">100000</definedName>
    <definedName name="solver_nod" localSheetId="4" hidden="1">100000</definedName>
    <definedName name="solver_nod" localSheetId="3" hidden="1">100000</definedName>
    <definedName name="solver_nod" localSheetId="1" hidden="1">100000</definedName>
    <definedName name="solver_nod" localSheetId="6" hidden="1">100000</definedName>
    <definedName name="solver_num" localSheetId="2" hidden="1">26</definedName>
    <definedName name="solver_num" localSheetId="5" hidden="1">26</definedName>
    <definedName name="solver_num" localSheetId="4" hidden="1">26</definedName>
    <definedName name="solver_num" localSheetId="3" hidden="1">26</definedName>
    <definedName name="solver_num" localSheetId="1" hidden="1">26</definedName>
    <definedName name="solver_num" localSheetId="6" hidden="1">26</definedName>
    <definedName name="solver_nwt" localSheetId="2" hidden="1">1</definedName>
    <definedName name="solver_nwt" localSheetId="5" hidden="1">1</definedName>
    <definedName name="solver_nwt" localSheetId="4" hidden="1">1</definedName>
    <definedName name="solver_nwt" localSheetId="3" hidden="1">1</definedName>
    <definedName name="solver_nwt" localSheetId="1" hidden="1">1</definedName>
    <definedName name="solver_nwt" localSheetId="6" hidden="1">1</definedName>
    <definedName name="solver_ofx" localSheetId="2" hidden="1">2</definedName>
    <definedName name="solver_ofx" localSheetId="5" hidden="1">2</definedName>
    <definedName name="solver_ofx" localSheetId="4" hidden="1">2</definedName>
    <definedName name="solver_ofx" localSheetId="3" hidden="1">2</definedName>
    <definedName name="solver_ofx" localSheetId="1" hidden="1">2</definedName>
    <definedName name="solver_ofx" localSheetId="6" hidden="1">2</definedName>
    <definedName name="solver_opt" localSheetId="2" hidden="1">'Boat Problem Doc'!$C$102</definedName>
    <definedName name="solver_opt" localSheetId="5" hidden="1">'Boat Problem Doc Depth'!$C$102</definedName>
    <definedName name="solver_opt" localSheetId="4" hidden="1">'Boat Problem Equal'!$C$102</definedName>
    <definedName name="solver_opt" localSheetId="3" hidden="1">'Boat Problem Exit'!$C$102</definedName>
    <definedName name="solver_opt" localSheetId="1" hidden="1">'Main Model'!$C$102</definedName>
    <definedName name="solver_opt" localSheetId="6" hidden="1">'Typical Marina'!$C$102</definedName>
    <definedName name="solver_pre" localSheetId="2" hidden="1">0.00005</definedName>
    <definedName name="solver_pre" localSheetId="5" hidden="1">0.00005</definedName>
    <definedName name="solver_pre" localSheetId="4" hidden="1">0.00005</definedName>
    <definedName name="solver_pre" localSheetId="3" hidden="1">0.00005</definedName>
    <definedName name="solver_pre" localSheetId="1" hidden="1">0.00005</definedName>
    <definedName name="solver_pre" localSheetId="6" hidden="1">0.00005</definedName>
    <definedName name="solver_pro" localSheetId="2" hidden="1">2</definedName>
    <definedName name="solver_pro" localSheetId="5" hidden="1">2</definedName>
    <definedName name="solver_pro" localSheetId="4" hidden="1">2</definedName>
    <definedName name="solver_pro" localSheetId="3" hidden="1">2</definedName>
    <definedName name="solver_pro" localSheetId="1" hidden="1">2</definedName>
    <definedName name="solver_pro" localSheetId="6" hidden="1">2</definedName>
    <definedName name="solver_rbv" localSheetId="2" hidden="1">1</definedName>
    <definedName name="solver_rbv" localSheetId="5" hidden="1">1</definedName>
    <definedName name="solver_rbv" localSheetId="4" hidden="1">1</definedName>
    <definedName name="solver_rbv" localSheetId="3" hidden="1">1</definedName>
    <definedName name="solver_rbv" localSheetId="1" hidden="1">1</definedName>
    <definedName name="solver_rbv" localSheetId="6" hidden="1">1</definedName>
    <definedName name="solver_rdp" localSheetId="2" hidden="1">0</definedName>
    <definedName name="solver_rdp" localSheetId="5" hidden="1">0</definedName>
    <definedName name="solver_rdp" localSheetId="4" hidden="1">0</definedName>
    <definedName name="solver_rdp" localSheetId="3" hidden="1">0</definedName>
    <definedName name="solver_rdp" localSheetId="1" hidden="1">0</definedName>
    <definedName name="solver_rdp" localSheetId="6" hidden="1">0</definedName>
    <definedName name="solver_rel1" localSheetId="2" hidden="1">1</definedName>
    <definedName name="solver_rel1" localSheetId="5" hidden="1">1</definedName>
    <definedName name="solver_rel1" localSheetId="4" hidden="1">1</definedName>
    <definedName name="solver_rel1" localSheetId="3" hidden="1">1</definedName>
    <definedName name="solver_rel1" localSheetId="1" hidden="1">1</definedName>
    <definedName name="solver_rel1" localSheetId="6" hidden="1">1</definedName>
    <definedName name="solver_rel10" localSheetId="2" hidden="1">3</definedName>
    <definedName name="solver_rel10" localSheetId="5" hidden="1">3</definedName>
    <definedName name="solver_rel10" localSheetId="4" hidden="1">3</definedName>
    <definedName name="solver_rel10" localSheetId="3" hidden="1">3</definedName>
    <definedName name="solver_rel10" localSheetId="1" hidden="1">3</definedName>
    <definedName name="solver_rel10" localSheetId="6" hidden="1">3</definedName>
    <definedName name="solver_rel11" localSheetId="2" hidden="1">3</definedName>
    <definedName name="solver_rel11" localSheetId="5" hidden="1">3</definedName>
    <definedName name="solver_rel11" localSheetId="4" hidden="1">3</definedName>
    <definedName name="solver_rel11" localSheetId="3" hidden="1">3</definedName>
    <definedName name="solver_rel11" localSheetId="1" hidden="1">3</definedName>
    <definedName name="solver_rel11" localSheetId="6" hidden="1">3</definedName>
    <definedName name="solver_rel12" localSheetId="2" hidden="1">3</definedName>
    <definedName name="solver_rel12" localSheetId="5" hidden="1">3</definedName>
    <definedName name="solver_rel12" localSheetId="4" hidden="1">3</definedName>
    <definedName name="solver_rel12" localSheetId="3" hidden="1">3</definedName>
    <definedName name="solver_rel12" localSheetId="1" hidden="1">3</definedName>
    <definedName name="solver_rel12" localSheetId="6" hidden="1">3</definedName>
    <definedName name="solver_rel13" localSheetId="2" hidden="1">3</definedName>
    <definedName name="solver_rel13" localSheetId="5" hidden="1">3</definedName>
    <definedName name="solver_rel13" localSheetId="4" hidden="1">3</definedName>
    <definedName name="solver_rel13" localSheetId="3" hidden="1">3</definedName>
    <definedName name="solver_rel13" localSheetId="1" hidden="1">3</definedName>
    <definedName name="solver_rel13" localSheetId="6" hidden="1">3</definedName>
    <definedName name="solver_rel14" localSheetId="2" hidden="1">3</definedName>
    <definedName name="solver_rel14" localSheetId="5" hidden="1">3</definedName>
    <definedName name="solver_rel14" localSheetId="4" hidden="1">3</definedName>
    <definedName name="solver_rel14" localSheetId="3" hidden="1">3</definedName>
    <definedName name="solver_rel14" localSheetId="1" hidden="1">3</definedName>
    <definedName name="solver_rel14" localSheetId="6" hidden="1">3</definedName>
    <definedName name="solver_rel15" localSheetId="2" hidden="1">3</definedName>
    <definedName name="solver_rel15" localSheetId="5" hidden="1">3</definedName>
    <definedName name="solver_rel15" localSheetId="4" hidden="1">3</definedName>
    <definedName name="solver_rel15" localSheetId="3" hidden="1">3</definedName>
    <definedName name="solver_rel15" localSheetId="1" hidden="1">3</definedName>
    <definedName name="solver_rel15" localSheetId="6" hidden="1">3</definedName>
    <definedName name="solver_rel16" localSheetId="2" hidden="1">3</definedName>
    <definedName name="solver_rel16" localSheetId="5" hidden="1">3</definedName>
    <definedName name="solver_rel16" localSheetId="4" hidden="1">3</definedName>
    <definedName name="solver_rel16" localSheetId="3" hidden="1">3</definedName>
    <definedName name="solver_rel16" localSheetId="1" hidden="1">3</definedName>
    <definedName name="solver_rel16" localSheetId="6" hidden="1">3</definedName>
    <definedName name="solver_rel17" localSheetId="2" hidden="1">3</definedName>
    <definedName name="solver_rel17" localSheetId="5" hidden="1">3</definedName>
    <definedName name="solver_rel17" localSheetId="4" hidden="1">3</definedName>
    <definedName name="solver_rel17" localSheetId="3" hidden="1">3</definedName>
    <definedName name="solver_rel17" localSheetId="1" hidden="1">3</definedName>
    <definedName name="solver_rel17" localSheetId="6" hidden="1">3</definedName>
    <definedName name="solver_rel18" localSheetId="2" hidden="1">3</definedName>
    <definedName name="solver_rel18" localSheetId="5" hidden="1">3</definedName>
    <definedName name="solver_rel18" localSheetId="4" hidden="1">3</definedName>
    <definedName name="solver_rel18" localSheetId="3" hidden="1">3</definedName>
    <definedName name="solver_rel18" localSheetId="1" hidden="1">3</definedName>
    <definedName name="solver_rel18" localSheetId="6" hidden="1">3</definedName>
    <definedName name="solver_rel19" localSheetId="2" hidden="1">3</definedName>
    <definedName name="solver_rel19" localSheetId="5" hidden="1">3</definedName>
    <definedName name="solver_rel19" localSheetId="4" hidden="1">3</definedName>
    <definedName name="solver_rel19" localSheetId="3" hidden="1">3</definedName>
    <definedName name="solver_rel19" localSheetId="1" hidden="1">3</definedName>
    <definedName name="solver_rel19" localSheetId="6" hidden="1">3</definedName>
    <definedName name="solver_rel2" localSheetId="2" hidden="1">3</definedName>
    <definedName name="solver_rel2" localSheetId="5" hidden="1">3</definedName>
    <definedName name="solver_rel2" localSheetId="4" hidden="1">3</definedName>
    <definedName name="solver_rel2" localSheetId="3" hidden="1">3</definedName>
    <definedName name="solver_rel2" localSheetId="1" hidden="1">3</definedName>
    <definedName name="solver_rel2" localSheetId="6" hidden="1">3</definedName>
    <definedName name="solver_rel20" localSheetId="2" hidden="1">3</definedName>
    <definedName name="solver_rel20" localSheetId="5" hidden="1">3</definedName>
    <definedName name="solver_rel20" localSheetId="4" hidden="1">3</definedName>
    <definedName name="solver_rel20" localSheetId="3" hidden="1">3</definedName>
    <definedName name="solver_rel20" localSheetId="1" hidden="1">3</definedName>
    <definedName name="solver_rel20" localSheetId="6" hidden="1">3</definedName>
    <definedName name="solver_rel21" localSheetId="2" hidden="1">3</definedName>
    <definedName name="solver_rel21" localSheetId="5" hidden="1">3</definedName>
    <definedName name="solver_rel21" localSheetId="4" hidden="1">3</definedName>
    <definedName name="solver_rel21" localSheetId="3" hidden="1">3</definedName>
    <definedName name="solver_rel21" localSheetId="1" hidden="1">3</definedName>
    <definedName name="solver_rel21" localSheetId="6" hidden="1">3</definedName>
    <definedName name="solver_rel22" localSheetId="2" hidden="1">3</definedName>
    <definedName name="solver_rel22" localSheetId="5" hidden="1">3</definedName>
    <definedName name="solver_rel22" localSheetId="4" hidden="1">3</definedName>
    <definedName name="solver_rel22" localSheetId="3" hidden="1">3</definedName>
    <definedName name="solver_rel22" localSheetId="1" hidden="1">3</definedName>
    <definedName name="solver_rel22" localSheetId="6" hidden="1">3</definedName>
    <definedName name="solver_rel23" localSheetId="2" hidden="1">3</definedName>
    <definedName name="solver_rel23" localSheetId="5" hidden="1">3</definedName>
    <definedName name="solver_rel23" localSheetId="4" hidden="1">3</definedName>
    <definedName name="solver_rel23" localSheetId="3" hidden="1">3</definedName>
    <definedName name="solver_rel23" localSheetId="1" hidden="1">3</definedName>
    <definedName name="solver_rel23" localSheetId="6" hidden="1">3</definedName>
    <definedName name="solver_rel24" localSheetId="2" hidden="1">3</definedName>
    <definedName name="solver_rel24" localSheetId="5" hidden="1">3</definedName>
    <definedName name="solver_rel24" localSheetId="4" hidden="1">3</definedName>
    <definedName name="solver_rel24" localSheetId="3" hidden="1">3</definedName>
    <definedName name="solver_rel24" localSheetId="1" hidden="1">3</definedName>
    <definedName name="solver_rel24" localSheetId="6" hidden="1">3</definedName>
    <definedName name="solver_rel25" localSheetId="2" hidden="1">3</definedName>
    <definedName name="solver_rel25" localSheetId="5" hidden="1">3</definedName>
    <definedName name="solver_rel25" localSheetId="4" hidden="1">3</definedName>
    <definedName name="solver_rel25" localSheetId="3" hidden="1">3</definedName>
    <definedName name="solver_rel25" localSheetId="1" hidden="1">3</definedName>
    <definedName name="solver_rel25" localSheetId="6" hidden="1">3</definedName>
    <definedName name="solver_rel26" localSheetId="2" hidden="1">3</definedName>
    <definedName name="solver_rel26" localSheetId="5" hidden="1">3</definedName>
    <definedName name="solver_rel26" localSheetId="4" hidden="1">3</definedName>
    <definedName name="solver_rel26" localSheetId="3" hidden="1">3</definedName>
    <definedName name="solver_rel26" localSheetId="1" hidden="1">3</definedName>
    <definedName name="solver_rel26" localSheetId="6" hidden="1">3</definedName>
    <definedName name="solver_rel27" localSheetId="2" hidden="1">3</definedName>
    <definedName name="solver_rel27" localSheetId="5" hidden="1">3</definedName>
    <definedName name="solver_rel27" localSheetId="4" hidden="1">3</definedName>
    <definedName name="solver_rel27" localSheetId="3" hidden="1">3</definedName>
    <definedName name="solver_rel27" localSheetId="1" hidden="1">3</definedName>
    <definedName name="solver_rel27" localSheetId="6" hidden="1">3</definedName>
    <definedName name="solver_rel28" localSheetId="2" hidden="1">3</definedName>
    <definedName name="solver_rel28" localSheetId="5" hidden="1">3</definedName>
    <definedName name="solver_rel28" localSheetId="4" hidden="1">3</definedName>
    <definedName name="solver_rel28" localSheetId="3" hidden="1">3</definedName>
    <definedName name="solver_rel28" localSheetId="1" hidden="1">3</definedName>
    <definedName name="solver_rel28" localSheetId="6" hidden="1">3</definedName>
    <definedName name="solver_rel3" localSheetId="2" hidden="1">1</definedName>
    <definedName name="solver_rel3" localSheetId="5" hidden="1">1</definedName>
    <definedName name="solver_rel3" localSheetId="4" hidden="1">1</definedName>
    <definedName name="solver_rel3" localSheetId="3" hidden="1">1</definedName>
    <definedName name="solver_rel3" localSheetId="1" hidden="1">1</definedName>
    <definedName name="solver_rel3" localSheetId="6" hidden="1">1</definedName>
    <definedName name="solver_rel4" localSheetId="2" hidden="1">3</definedName>
    <definedName name="solver_rel4" localSheetId="5" hidden="1">3</definedName>
    <definedName name="solver_rel4" localSheetId="4" hidden="1">3</definedName>
    <definedName name="solver_rel4" localSheetId="3" hidden="1">3</definedName>
    <definedName name="solver_rel4" localSheetId="1" hidden="1">3</definedName>
    <definedName name="solver_rel4" localSheetId="6" hidden="1">3</definedName>
    <definedName name="solver_rel5" localSheetId="2" hidden="1">1</definedName>
    <definedName name="solver_rel5" localSheetId="5" hidden="1">1</definedName>
    <definedName name="solver_rel5" localSheetId="4" hidden="1">1</definedName>
    <definedName name="solver_rel5" localSheetId="3" hidden="1">1</definedName>
    <definedName name="solver_rel5" localSheetId="1" hidden="1">1</definedName>
    <definedName name="solver_rel5" localSheetId="6" hidden="1">1</definedName>
    <definedName name="solver_rel6" localSheetId="2" hidden="1">3</definedName>
    <definedName name="solver_rel6" localSheetId="5" hidden="1">3</definedName>
    <definedName name="solver_rel6" localSheetId="4" hidden="1">3</definedName>
    <definedName name="solver_rel6" localSheetId="3" hidden="1">3</definedName>
    <definedName name="solver_rel6" localSheetId="1" hidden="1">3</definedName>
    <definedName name="solver_rel6" localSheetId="6" hidden="1">3</definedName>
    <definedName name="solver_rel7" localSheetId="2" hidden="1">1</definedName>
    <definedName name="solver_rel7" localSheetId="5" hidden="1">1</definedName>
    <definedName name="solver_rel7" localSheetId="4" hidden="1">1</definedName>
    <definedName name="solver_rel7" localSheetId="3" hidden="1">1</definedName>
    <definedName name="solver_rel7" localSheetId="1" hidden="1">1</definedName>
    <definedName name="solver_rel7" localSheetId="6" hidden="1">1</definedName>
    <definedName name="solver_rel8" localSheetId="2" hidden="1">3</definedName>
    <definedName name="solver_rel8" localSheetId="5" hidden="1">3</definedName>
    <definedName name="solver_rel8" localSheetId="4" hidden="1">3</definedName>
    <definedName name="solver_rel8" localSheetId="3" hidden="1">3</definedName>
    <definedName name="solver_rel8" localSheetId="1" hidden="1">3</definedName>
    <definedName name="solver_rel8" localSheetId="6" hidden="1">3</definedName>
    <definedName name="solver_rel9" localSheetId="2" hidden="1">3</definedName>
    <definedName name="solver_rel9" localSheetId="5" hidden="1">3</definedName>
    <definedName name="solver_rel9" localSheetId="4" hidden="1">3</definedName>
    <definedName name="solver_rel9" localSheetId="3" hidden="1">3</definedName>
    <definedName name="solver_rel9" localSheetId="1" hidden="1">3</definedName>
    <definedName name="solver_rel9" localSheetId="6" hidden="1">3</definedName>
    <definedName name="solver_reo" localSheetId="2" hidden="1">2</definedName>
    <definedName name="solver_reo" localSheetId="5" hidden="1">2</definedName>
    <definedName name="solver_reo" localSheetId="4" hidden="1">2</definedName>
    <definedName name="solver_reo" localSheetId="3" hidden="1">2</definedName>
    <definedName name="solver_reo" localSheetId="1" hidden="1">2</definedName>
    <definedName name="solver_reo" localSheetId="6" hidden="1">2</definedName>
    <definedName name="solver_rep" localSheetId="2" hidden="1">2</definedName>
    <definedName name="solver_rep" localSheetId="5" hidden="1">2</definedName>
    <definedName name="solver_rep" localSheetId="4" hidden="1">2</definedName>
    <definedName name="solver_rep" localSheetId="3" hidden="1">2</definedName>
    <definedName name="solver_rep" localSheetId="1" hidden="1">2</definedName>
    <definedName name="solver_rep" localSheetId="6" hidden="1">2</definedName>
    <definedName name="solver_res" localSheetId="2" hidden="1">0.05</definedName>
    <definedName name="solver_res" localSheetId="5" hidden="1">0.05</definedName>
    <definedName name="solver_res" localSheetId="4" hidden="1">0.05</definedName>
    <definedName name="solver_res" localSheetId="3" hidden="1">0.05</definedName>
    <definedName name="solver_res" localSheetId="1" hidden="1">0.05</definedName>
    <definedName name="solver_res" localSheetId="6" hidden="1">0.05</definedName>
    <definedName name="solver_rhs1" localSheetId="2" hidden="1">'Boat Problem Doc'!$I$8</definedName>
    <definedName name="solver_rhs1" localSheetId="5" hidden="1">'Boat Problem Doc Depth'!$I$8</definedName>
    <definedName name="solver_rhs1" localSheetId="4" hidden="1">'Boat Problem Equal'!$I$8</definedName>
    <definedName name="solver_rhs1" localSheetId="3" hidden="1">'Boat Problem Exit'!$I$8</definedName>
    <definedName name="solver_rhs1" localSheetId="1" hidden="1">'Main Model'!$I$8</definedName>
    <definedName name="solver_rhs1" localSheetId="6" hidden="1">'Typical Marina'!$I$8</definedName>
    <definedName name="solver_rhs10" localSheetId="2" hidden="1">'Boat Problem Doc'!$D$64</definedName>
    <definedName name="solver_rhs10" localSheetId="5" hidden="1">'Boat Problem Doc Depth'!$D$64</definedName>
    <definedName name="solver_rhs10" localSheetId="4" hidden="1">'Boat Problem Equal'!$D$64</definedName>
    <definedName name="solver_rhs10" localSheetId="3" hidden="1">'Boat Problem Exit'!$D$64</definedName>
    <definedName name="solver_rhs10" localSheetId="1" hidden="1">'Main Model'!$D$64</definedName>
    <definedName name="solver_rhs10" localSheetId="6" hidden="1">'Typical Marina'!$D$64</definedName>
    <definedName name="solver_rhs11" localSheetId="2" hidden="1">'Boat Problem Doc'!$E$64</definedName>
    <definedName name="solver_rhs11" localSheetId="5" hidden="1">'Boat Problem Doc Depth'!$E$64</definedName>
    <definedName name="solver_rhs11" localSheetId="4" hidden="1">'Boat Problem Equal'!$E$64</definedName>
    <definedName name="solver_rhs11" localSheetId="3" hidden="1">'Boat Problem Exit'!$E$64</definedName>
    <definedName name="solver_rhs11" localSheetId="1" hidden="1">'Main Model'!$E$64</definedName>
    <definedName name="solver_rhs11" localSheetId="6" hidden="1">'Typical Marina'!$E$64</definedName>
    <definedName name="solver_rhs12" localSheetId="2" hidden="1">'Boat Problem Doc'!$F$64</definedName>
    <definedName name="solver_rhs12" localSheetId="5" hidden="1">'Boat Problem Doc Depth'!$F$64</definedName>
    <definedName name="solver_rhs12" localSheetId="4" hidden="1">'Boat Problem Equal'!$F$64</definedName>
    <definedName name="solver_rhs12" localSheetId="3" hidden="1">'Boat Problem Exit'!$F$64</definedName>
    <definedName name="solver_rhs12" localSheetId="1" hidden="1">'Main Model'!$F$64</definedName>
    <definedName name="solver_rhs12" localSheetId="6" hidden="1">'Typical Marina'!$F$64</definedName>
    <definedName name="solver_rhs13" localSheetId="2" hidden="1">'Boat Problem Doc'!$G$64</definedName>
    <definedName name="solver_rhs13" localSheetId="5" hidden="1">'Boat Problem Doc Depth'!$G$64</definedName>
    <definedName name="solver_rhs13" localSheetId="4" hidden="1">'Boat Problem Equal'!$G$64</definedName>
    <definedName name="solver_rhs13" localSheetId="3" hidden="1">'Boat Problem Exit'!$G$64</definedName>
    <definedName name="solver_rhs13" localSheetId="1" hidden="1">'Main Model'!$G$64</definedName>
    <definedName name="solver_rhs13" localSheetId="6" hidden="1">'Typical Marina'!$G$64</definedName>
    <definedName name="solver_rhs14" localSheetId="2" hidden="1">'Boat Problem Doc'!$H$64</definedName>
    <definedName name="solver_rhs14" localSheetId="5" hidden="1">'Boat Problem Doc Depth'!$H$64</definedName>
    <definedName name="solver_rhs14" localSheetId="4" hidden="1">'Boat Problem Equal'!$H$64</definedName>
    <definedName name="solver_rhs14" localSheetId="3" hidden="1">'Boat Problem Exit'!$H$64</definedName>
    <definedName name="solver_rhs14" localSheetId="1" hidden="1">'Main Model'!$H$64</definedName>
    <definedName name="solver_rhs14" localSheetId="6" hidden="1">'Typical Marina'!$H$64</definedName>
    <definedName name="solver_rhs15" localSheetId="2" hidden="1">'Boat Problem Doc'!$I$64</definedName>
    <definedName name="solver_rhs15" localSheetId="5" hidden="1">'Boat Problem Doc Depth'!$I$64</definedName>
    <definedName name="solver_rhs15" localSheetId="4" hidden="1">'Boat Problem Equal'!$I$64</definedName>
    <definedName name="solver_rhs15" localSheetId="3" hidden="1">'Boat Problem Exit'!$I$64</definedName>
    <definedName name="solver_rhs15" localSheetId="1" hidden="1">'Main Model'!$I$64</definedName>
    <definedName name="solver_rhs15" localSheetId="6" hidden="1">'Typical Marina'!$I$64</definedName>
    <definedName name="solver_rhs16" localSheetId="2" hidden="1">'Boat Problem Doc'!$J$64</definedName>
    <definedName name="solver_rhs16" localSheetId="5" hidden="1">'Boat Problem Doc Depth'!$J$64</definedName>
    <definedName name="solver_rhs16" localSheetId="4" hidden="1">'Boat Problem Equal'!$J$64</definedName>
    <definedName name="solver_rhs16" localSheetId="3" hidden="1">'Boat Problem Exit'!$J$64</definedName>
    <definedName name="solver_rhs16" localSheetId="1" hidden="1">'Main Model'!$J$64</definedName>
    <definedName name="solver_rhs16" localSheetId="6" hidden="1">'Typical Marina'!$J$64</definedName>
    <definedName name="solver_rhs17" localSheetId="2" hidden="1">'Boat Problem Doc'!$K$64</definedName>
    <definedName name="solver_rhs17" localSheetId="5" hidden="1">'Boat Problem Doc Depth'!$K$64</definedName>
    <definedName name="solver_rhs17" localSheetId="4" hidden="1">'Boat Problem Equal'!$K$64</definedName>
    <definedName name="solver_rhs17" localSheetId="3" hidden="1">'Boat Problem Exit'!$K$64</definedName>
    <definedName name="solver_rhs17" localSheetId="1" hidden="1">'Main Model'!$K$64</definedName>
    <definedName name="solver_rhs17" localSheetId="6" hidden="1">'Typical Marina'!$K$64</definedName>
    <definedName name="solver_rhs18" localSheetId="2" hidden="1">'Boat Problem Doc'!$L$64</definedName>
    <definedName name="solver_rhs18" localSheetId="5" hidden="1">'Boat Problem Doc Depth'!$L$64</definedName>
    <definedName name="solver_rhs18" localSheetId="4" hidden="1">'Boat Problem Equal'!$L$64</definedName>
    <definedName name="solver_rhs18" localSheetId="3" hidden="1">'Boat Problem Exit'!$L$64</definedName>
    <definedName name="solver_rhs18" localSheetId="1" hidden="1">'Main Model'!$L$64</definedName>
    <definedName name="solver_rhs18" localSheetId="6" hidden="1">'Typical Marina'!$L$64</definedName>
    <definedName name="solver_rhs19" localSheetId="2" hidden="1">'Boat Problem Doc'!$M$64</definedName>
    <definedName name="solver_rhs19" localSheetId="5" hidden="1">'Boat Problem Doc Depth'!$M$64</definedName>
    <definedName name="solver_rhs19" localSheetId="4" hidden="1">'Boat Problem Equal'!$M$64</definedName>
    <definedName name="solver_rhs19" localSheetId="3" hidden="1">'Boat Problem Exit'!$M$64</definedName>
    <definedName name="solver_rhs19" localSheetId="1" hidden="1">'Main Model'!$M$64</definedName>
    <definedName name="solver_rhs19" localSheetId="6" hidden="1">'Typical Marina'!$M$64</definedName>
    <definedName name="solver_rhs2" localSheetId="2" hidden="1">'Boat Problem Doc'!$I$7</definedName>
    <definedName name="solver_rhs2" localSheetId="5" hidden="1">'Boat Problem Doc Depth'!$I$7</definedName>
    <definedName name="solver_rhs2" localSheetId="4" hidden="1">'Boat Problem Equal'!$I$7</definedName>
    <definedName name="solver_rhs2" localSheetId="3" hidden="1">'Boat Problem Exit'!$I$7</definedName>
    <definedName name="solver_rhs2" localSheetId="1" hidden="1">'Main Model'!$I$7</definedName>
    <definedName name="solver_rhs2" localSheetId="6" hidden="1">'Typical Marina'!$I$7</definedName>
    <definedName name="solver_rhs20" localSheetId="2" hidden="1">'Boat Problem Doc'!$N$64</definedName>
    <definedName name="solver_rhs20" localSheetId="5" hidden="1">'Boat Problem Doc Depth'!$N$64</definedName>
    <definedName name="solver_rhs20" localSheetId="4" hidden="1">'Boat Problem Equal'!$N$64</definedName>
    <definedName name="solver_rhs20" localSheetId="3" hidden="1">'Boat Problem Exit'!$N$64</definedName>
    <definedName name="solver_rhs20" localSheetId="1" hidden="1">'Main Model'!$N$64</definedName>
    <definedName name="solver_rhs20" localSheetId="6" hidden="1">'Typical Marina'!$N$64</definedName>
    <definedName name="solver_rhs21" localSheetId="2" hidden="1">'Boat Problem Doc'!$O$64</definedName>
    <definedName name="solver_rhs21" localSheetId="5" hidden="1">'Boat Problem Doc Depth'!$O$64</definedName>
    <definedName name="solver_rhs21" localSheetId="4" hidden="1">'Boat Problem Equal'!$O$64</definedName>
    <definedName name="solver_rhs21" localSheetId="3" hidden="1">'Boat Problem Exit'!$O$64</definedName>
    <definedName name="solver_rhs21" localSheetId="1" hidden="1">'Main Model'!$O$64</definedName>
    <definedName name="solver_rhs21" localSheetId="6" hidden="1">'Typical Marina'!$O$64</definedName>
    <definedName name="solver_rhs22" localSheetId="2" hidden="1">'Boat Problem Doc'!$P$64</definedName>
    <definedName name="solver_rhs22" localSheetId="5" hidden="1">'Boat Problem Doc Depth'!$P$64</definedName>
    <definedName name="solver_rhs22" localSheetId="4" hidden="1">'Boat Problem Equal'!$P$64</definedName>
    <definedName name="solver_rhs22" localSheetId="3" hidden="1">'Boat Problem Exit'!$P$64</definedName>
    <definedName name="solver_rhs22" localSheetId="1" hidden="1">'Main Model'!$P$64</definedName>
    <definedName name="solver_rhs22" localSheetId="6" hidden="1">'Typical Marina'!$P$64</definedName>
    <definedName name="solver_rhs23" localSheetId="2" hidden="1">'Boat Problem Doc'!$Q$64</definedName>
    <definedName name="solver_rhs23" localSheetId="5" hidden="1">'Boat Problem Doc Depth'!$Q$64</definedName>
    <definedName name="solver_rhs23" localSheetId="4" hidden="1">'Boat Problem Equal'!$Q$64</definedName>
    <definedName name="solver_rhs23" localSheetId="3" hidden="1">'Boat Problem Exit'!$Q$64</definedName>
    <definedName name="solver_rhs23" localSheetId="1" hidden="1">'Main Model'!$Q$64</definedName>
    <definedName name="solver_rhs23" localSheetId="6" hidden="1">'Typical Marina'!$Q$64</definedName>
    <definedName name="solver_rhs24" localSheetId="2" hidden="1">'Boat Problem Doc'!$R$64</definedName>
    <definedName name="solver_rhs24" localSheetId="5" hidden="1">'Boat Problem Doc Depth'!$R$64</definedName>
    <definedName name="solver_rhs24" localSheetId="4" hidden="1">'Boat Problem Equal'!$R$64</definedName>
    <definedName name="solver_rhs24" localSheetId="3" hidden="1">'Boat Problem Exit'!$R$64</definedName>
    <definedName name="solver_rhs24" localSheetId="1" hidden="1">'Main Model'!$R$64</definedName>
    <definedName name="solver_rhs24" localSheetId="6" hidden="1">'Typical Marina'!$R$64</definedName>
    <definedName name="solver_rhs25" localSheetId="2" hidden="1">'Boat Problem Doc'!$S$64</definedName>
    <definedName name="solver_rhs25" localSheetId="5" hidden="1">'Boat Problem Doc Depth'!$S$64</definedName>
    <definedName name="solver_rhs25" localSheetId="4" hidden="1">'Boat Problem Equal'!$S$64</definedName>
    <definedName name="solver_rhs25" localSheetId="3" hidden="1">'Boat Problem Exit'!$S$64</definedName>
    <definedName name="solver_rhs25" localSheetId="1" hidden="1">'Main Model'!$S$64</definedName>
    <definedName name="solver_rhs25" localSheetId="6" hidden="1">'Typical Marina'!$S$64</definedName>
    <definedName name="solver_rhs26" localSheetId="2" hidden="1">'Boat Problem Doc'!$T$64</definedName>
    <definedName name="solver_rhs26" localSheetId="5" hidden="1">'Boat Problem Doc Depth'!$T$64</definedName>
    <definedName name="solver_rhs26" localSheetId="4" hidden="1">'Boat Problem Equal'!$T$64</definedName>
    <definedName name="solver_rhs26" localSheetId="3" hidden="1">'Boat Problem Exit'!$T$64</definedName>
    <definedName name="solver_rhs26" localSheetId="1" hidden="1">'Main Model'!$T$64</definedName>
    <definedName name="solver_rhs26" localSheetId="6" hidden="1">'Typical Marina'!$T$64</definedName>
    <definedName name="solver_rhs27" localSheetId="2" hidden="1">'Boat Problem Doc'!$U$64</definedName>
    <definedName name="solver_rhs27" localSheetId="5" hidden="1">'Boat Problem Doc Depth'!$U$64</definedName>
    <definedName name="solver_rhs27" localSheetId="4" hidden="1">'Boat Problem Equal'!$U$64</definedName>
    <definedName name="solver_rhs27" localSheetId="3" hidden="1">'Boat Problem Exit'!$U$64</definedName>
    <definedName name="solver_rhs27" localSheetId="1" hidden="1">'Main Model'!$U$64</definedName>
    <definedName name="solver_rhs27" localSheetId="6" hidden="1">'Typical Marina'!$U$64</definedName>
    <definedName name="solver_rhs28" localSheetId="2" hidden="1">'Boat Problem Doc'!$V$64</definedName>
    <definedName name="solver_rhs28" localSheetId="5" hidden="1">'Boat Problem Doc Depth'!$V$64</definedName>
    <definedName name="solver_rhs28" localSheetId="4" hidden="1">'Boat Problem Equal'!$V$64</definedName>
    <definedName name="solver_rhs28" localSheetId="3" hidden="1">'Boat Problem Exit'!$V$64</definedName>
    <definedName name="solver_rhs28" localSheetId="1" hidden="1">'Main Model'!$V$64</definedName>
    <definedName name="solver_rhs28" localSheetId="6" hidden="1">'Typical Marina'!$V$64</definedName>
    <definedName name="solver_rhs3" localSheetId="2" hidden="1">'Boat Problem Doc'!$I$10</definedName>
    <definedName name="solver_rhs3" localSheetId="5" hidden="1">'Boat Problem Doc Depth'!$I$10</definedName>
    <definedName name="solver_rhs3" localSheetId="4" hidden="1">'Boat Problem Equal'!$I$10</definedName>
    <definedName name="solver_rhs3" localSheetId="3" hidden="1">'Boat Problem Exit'!$I$10</definedName>
    <definedName name="solver_rhs3" localSheetId="1" hidden="1">'Main Model'!$I$10</definedName>
    <definedName name="solver_rhs3" localSheetId="6" hidden="1">'Typical Marina'!$I$10</definedName>
    <definedName name="solver_rhs4" localSheetId="2" hidden="1">'Boat Problem Doc'!$I$9</definedName>
    <definedName name="solver_rhs4" localSheetId="5" hidden="1">'Boat Problem Doc Depth'!$I$9</definedName>
    <definedName name="solver_rhs4" localSheetId="4" hidden="1">'Boat Problem Equal'!$I$9</definedName>
    <definedName name="solver_rhs4" localSheetId="3" hidden="1">'Boat Problem Exit'!$I$9</definedName>
    <definedName name="solver_rhs4" localSheetId="1" hidden="1">'Main Model'!$I$9</definedName>
    <definedName name="solver_rhs4" localSheetId="6" hidden="1">'Typical Marina'!$I$9</definedName>
    <definedName name="solver_rhs5" localSheetId="2" hidden="1">'Boat Problem Doc'!$C$69:$T$69</definedName>
    <definedName name="solver_rhs5" localSheetId="5" hidden="1">'Boat Problem Doc Depth'!$C$69:$T$69</definedName>
    <definedName name="solver_rhs5" localSheetId="4" hidden="1">'Boat Problem Equal'!$C$69:$T$69</definedName>
    <definedName name="solver_rhs5" localSheetId="3" hidden="1">'Boat Problem Exit'!$C$69:$T$69</definedName>
    <definedName name="solver_rhs5" localSheetId="1" hidden="1">'Main Model'!$C$69:$T$69</definedName>
    <definedName name="solver_rhs5" localSheetId="6" hidden="1">'Typical Marina'!$C$69:$T$69</definedName>
    <definedName name="solver_rhs6" localSheetId="2" hidden="1">'Boat Problem Doc'!$C$73:$T$73</definedName>
    <definedName name="solver_rhs6" localSheetId="5" hidden="1">'Boat Problem Doc Depth'!$C$73:$T$73</definedName>
    <definedName name="solver_rhs6" localSheetId="4" hidden="1">'Boat Problem Equal'!$C$73:$T$73</definedName>
    <definedName name="solver_rhs6" localSheetId="3" hidden="1">'Boat Problem Exit'!$C$73:$T$73</definedName>
    <definedName name="solver_rhs6" localSheetId="1" hidden="1">'Main Model'!$C$73:$T$73</definedName>
    <definedName name="solver_rhs6" localSheetId="6" hidden="1">'Typical Marina'!$C$73:$T$73</definedName>
    <definedName name="solver_rhs7" localSheetId="2" hidden="1">'Boat Problem Doc'!$C$77:$T$77</definedName>
    <definedName name="solver_rhs7" localSheetId="5" hidden="1">'Boat Problem Doc Depth'!$C$77:$T$77</definedName>
    <definedName name="solver_rhs7" localSheetId="4" hidden="1">'Boat Problem Equal'!$C$77:$T$77</definedName>
    <definedName name="solver_rhs7" localSheetId="3" hidden="1">'Boat Problem Exit'!$C$77:$T$77</definedName>
    <definedName name="solver_rhs7" localSheetId="1" hidden="1">'Main Model'!$C$77:$T$77</definedName>
    <definedName name="solver_rhs7" localSheetId="6" hidden="1">'Typical Marina'!$C$77:$T$77</definedName>
    <definedName name="solver_rhs8" localSheetId="2" hidden="1">'Boat Problem Doc'!$C$81:$T$81</definedName>
    <definedName name="solver_rhs8" localSheetId="5" hidden="1">'Boat Problem Doc Depth'!$C$81:$T$81</definedName>
    <definedName name="solver_rhs8" localSheetId="4" hidden="1">'Boat Problem Equal'!$C$81:$T$81</definedName>
    <definedName name="solver_rhs8" localSheetId="3" hidden="1">'Boat Problem Exit'!$C$81:$T$81</definedName>
    <definedName name="solver_rhs8" localSheetId="1" hidden="1">'Main Model'!$C$81:$T$81</definedName>
    <definedName name="solver_rhs8" localSheetId="6" hidden="1">'Typical Marina'!$C$81:$T$81</definedName>
    <definedName name="solver_rhs9" localSheetId="2" hidden="1">'Boat Problem Doc'!$C$88:$T$88</definedName>
    <definedName name="solver_rhs9" localSheetId="5" hidden="1">'Boat Problem Doc Depth'!$C$88:$T$88</definedName>
    <definedName name="solver_rhs9" localSheetId="4" hidden="1">'Boat Problem Equal'!$C$88:$T$88</definedName>
    <definedName name="solver_rhs9" localSheetId="3" hidden="1">'Boat Problem Exit'!$C$88:$T$88</definedName>
    <definedName name="solver_rhs9" localSheetId="1" hidden="1">'Main Model'!$C$88:$T$88</definedName>
    <definedName name="solver_rhs9" localSheetId="6" hidden="1">'Typical Marina'!$C$88:$T$88</definedName>
    <definedName name="solver_rlx" localSheetId="2" hidden="1">2</definedName>
    <definedName name="solver_rlx" localSheetId="5" hidden="1">2</definedName>
    <definedName name="solver_rlx" localSheetId="4" hidden="1">2</definedName>
    <definedName name="solver_rlx" localSheetId="3" hidden="1">2</definedName>
    <definedName name="solver_rlx" localSheetId="1" hidden="1">2</definedName>
    <definedName name="solver_rlx" localSheetId="6" hidden="1">2</definedName>
    <definedName name="solver_rsd" localSheetId="2" hidden="1">139804520982</definedName>
    <definedName name="solver_rsp" localSheetId="2" hidden="1">0</definedName>
    <definedName name="solver_rsp" localSheetId="5" hidden="1">0</definedName>
    <definedName name="solver_rsp" localSheetId="4" hidden="1">0</definedName>
    <definedName name="solver_rsp" localSheetId="3" hidden="1">0</definedName>
    <definedName name="solver_rsp" localSheetId="1" hidden="1">0</definedName>
    <definedName name="solver_rsp" localSheetId="6" hidden="1">0</definedName>
    <definedName name="solver_scl" localSheetId="2" hidden="1">2</definedName>
    <definedName name="solver_scl" localSheetId="5" hidden="1">2</definedName>
    <definedName name="solver_scl" localSheetId="4" hidden="1">2</definedName>
    <definedName name="solver_scl" localSheetId="3" hidden="1">2</definedName>
    <definedName name="solver_scl" localSheetId="1" hidden="1">2</definedName>
    <definedName name="solver_scl" localSheetId="6" hidden="1">2</definedName>
    <definedName name="solver_sel" localSheetId="2" hidden="1">1</definedName>
    <definedName name="solver_sel" localSheetId="5" hidden="1">1</definedName>
    <definedName name="solver_sel" localSheetId="4" hidden="1">1</definedName>
    <definedName name="solver_sel" localSheetId="3" hidden="1">1</definedName>
    <definedName name="solver_sel" localSheetId="1" hidden="1">1</definedName>
    <definedName name="solver_sel" localSheetId="6" hidden="1">1</definedName>
    <definedName name="solver_sho" localSheetId="2" hidden="1">2</definedName>
    <definedName name="solver_sho" localSheetId="5" hidden="1">2</definedName>
    <definedName name="solver_sho" localSheetId="4" hidden="1">2</definedName>
    <definedName name="solver_sho" localSheetId="3" hidden="1">2</definedName>
    <definedName name="solver_sho" localSheetId="1" hidden="1">2</definedName>
    <definedName name="solver_sho" localSheetId="6" hidden="1">2</definedName>
    <definedName name="solver_soc" localSheetId="2" hidden="1">0</definedName>
    <definedName name="solver_soc" localSheetId="5" hidden="1">0</definedName>
    <definedName name="solver_soc" localSheetId="4" hidden="1">0</definedName>
    <definedName name="solver_soc" localSheetId="3" hidden="1">0</definedName>
    <definedName name="solver_soc" localSheetId="1" hidden="1">0</definedName>
    <definedName name="solver_soc" localSheetId="6" hidden="1">0</definedName>
    <definedName name="solver_ssz" localSheetId="2" hidden="1">200</definedName>
    <definedName name="solver_ssz" localSheetId="5" hidden="1">127</definedName>
    <definedName name="solver_ssz" localSheetId="4" hidden="1">127</definedName>
    <definedName name="solver_ssz" localSheetId="3" hidden="1">127</definedName>
    <definedName name="solver_ssz" localSheetId="1" hidden="1">127</definedName>
    <definedName name="solver_ssz" localSheetId="6" hidden="1">2129</definedName>
    <definedName name="solver_sta" localSheetId="2" hidden="1">0</definedName>
    <definedName name="solver_sta" localSheetId="5" hidden="1">0</definedName>
    <definedName name="solver_sta" localSheetId="4" hidden="1">0</definedName>
    <definedName name="solver_sta" localSheetId="3" hidden="1">0</definedName>
    <definedName name="solver_sta" localSheetId="1" hidden="1">0</definedName>
    <definedName name="solver_sta" localSheetId="6" hidden="1">0</definedName>
    <definedName name="solver_std" localSheetId="2" hidden="1">0</definedName>
    <definedName name="solver_std" localSheetId="5" hidden="1">0</definedName>
    <definedName name="solver_std" localSheetId="4" hidden="1">0</definedName>
    <definedName name="solver_std" localSheetId="3" hidden="1">0</definedName>
    <definedName name="solver_std" localSheetId="1" hidden="1">0</definedName>
    <definedName name="solver_std" localSheetId="6" hidden="1">0</definedName>
    <definedName name="solver_tim" localSheetId="2" hidden="1">100000</definedName>
    <definedName name="solver_tim" localSheetId="5" hidden="1">1000</definedName>
    <definedName name="solver_tim" localSheetId="4" hidden="1">1000</definedName>
    <definedName name="solver_tim" localSheetId="3" hidden="1">1000</definedName>
    <definedName name="solver_tim" localSheetId="1" hidden="1">1000</definedName>
    <definedName name="solver_tim" localSheetId="6" hidden="1">1000</definedName>
    <definedName name="solver_tms" localSheetId="2" hidden="1">2</definedName>
    <definedName name="solver_tms" localSheetId="5" hidden="1">2</definedName>
    <definedName name="solver_tms" localSheetId="4" hidden="1">2</definedName>
    <definedName name="solver_tms" localSheetId="3" hidden="1">2</definedName>
    <definedName name="solver_tms" localSheetId="1" hidden="1">2</definedName>
    <definedName name="solver_tms" localSheetId="6" hidden="1">2</definedName>
    <definedName name="solver_tol" localSheetId="2" hidden="1">0.000005</definedName>
    <definedName name="solver_tol" localSheetId="5" hidden="1">0.000005</definedName>
    <definedName name="solver_tol" localSheetId="4" hidden="1">0.000005</definedName>
    <definedName name="solver_tol" localSheetId="3" hidden="1">0.000005</definedName>
    <definedName name="solver_tol" localSheetId="1" hidden="1">0.000005</definedName>
    <definedName name="solver_tol" localSheetId="6" hidden="1">0.000005</definedName>
    <definedName name="solver_typ" localSheetId="2" hidden="1">1</definedName>
    <definedName name="solver_typ" localSheetId="5" hidden="1">1</definedName>
    <definedName name="solver_typ" localSheetId="4" hidden="1">1</definedName>
    <definedName name="solver_typ" localSheetId="3" hidden="1">1</definedName>
    <definedName name="solver_typ" localSheetId="1" hidden="1">1</definedName>
    <definedName name="solver_typ" localSheetId="6" hidden="1">1</definedName>
    <definedName name="solver_val" localSheetId="2" hidden="1">0</definedName>
    <definedName name="solver_val" localSheetId="5" hidden="1">0</definedName>
    <definedName name="solver_val" localSheetId="4" hidden="1">0</definedName>
    <definedName name="solver_val" localSheetId="3" hidden="1">0</definedName>
    <definedName name="solver_val" localSheetId="1" hidden="1">0</definedName>
    <definedName name="solver_val" localSheetId="6" hidden="1">0</definedName>
    <definedName name="solver_ver" localSheetId="2" hidden="1">2</definedName>
    <definedName name="solver_ver" localSheetId="5" hidden="1">2</definedName>
    <definedName name="solver_ver" localSheetId="4" hidden="1">2</definedName>
    <definedName name="solver_ver" localSheetId="3" hidden="1">2</definedName>
    <definedName name="solver_ver" localSheetId="1" hidden="1">2</definedName>
    <definedName name="solver_ver" localSheetId="6" hidden="1">2</definedName>
    <definedName name="solver_vir" localSheetId="2" hidden="1">1</definedName>
    <definedName name="solver_vir" localSheetId="5" hidden="1">1</definedName>
    <definedName name="solver_vir" localSheetId="4" hidden="1">1</definedName>
    <definedName name="solver_vir" localSheetId="3" hidden="1">1</definedName>
    <definedName name="solver_vir" localSheetId="1" hidden="1">1</definedName>
    <definedName name="solver_vir" localSheetId="6" hidden="1">1</definedName>
  </definedNames>
  <calcPr fullCalcOnLoad="1"/>
</workbook>
</file>

<file path=xl/sharedStrings.xml><?xml version="1.0" encoding="utf-8"?>
<sst xmlns="http://schemas.openxmlformats.org/spreadsheetml/2006/main" count="3108" uniqueCount="93">
  <si>
    <t>S</t>
  </si>
  <si>
    <t>M</t>
  </si>
  <si>
    <t>L</t>
  </si>
  <si>
    <t>Decision Variables</t>
  </si>
  <si>
    <t>Boat</t>
  </si>
  <si>
    <t>x</t>
  </si>
  <si>
    <t>y</t>
  </si>
  <si>
    <t>Lsi</t>
  </si>
  <si>
    <t>Lmi</t>
  </si>
  <si>
    <t>Lli</t>
  </si>
  <si>
    <t>Constraints:</t>
  </si>
  <si>
    <t>Xmin</t>
  </si>
  <si>
    <t>Xmax</t>
  </si>
  <si>
    <t>Ymin</t>
  </si>
  <si>
    <t>Ymax</t>
  </si>
  <si>
    <t>feet</t>
  </si>
  <si>
    <t>Dmin</t>
  </si>
  <si>
    <t>Dmax</t>
  </si>
  <si>
    <t>Bounds</t>
  </si>
  <si>
    <t>Depth</t>
  </si>
  <si>
    <t>Boat Characteristics</t>
  </si>
  <si>
    <t>Lsi :Boat i is of Length Short</t>
  </si>
  <si>
    <t>Lmi: Boat i is of Length Medium</t>
  </si>
  <si>
    <t>Lli: Boat i is of Length Long</t>
  </si>
  <si>
    <t>15-20</t>
  </si>
  <si>
    <t>20-30</t>
  </si>
  <si>
    <t>30-40</t>
  </si>
  <si>
    <t>Marina Charateristics</t>
  </si>
  <si>
    <t>Theta high</t>
  </si>
  <si>
    <t>Tide Change</t>
  </si>
  <si>
    <t>Constants:</t>
  </si>
  <si>
    <t>DI</t>
  </si>
  <si>
    <t>Rope Length</t>
  </si>
  <si>
    <t>Radius</t>
  </si>
  <si>
    <t>Buffer</t>
  </si>
  <si>
    <t>&lt;=</t>
  </si>
  <si>
    <t>x/y</t>
  </si>
  <si>
    <t>-</t>
  </si>
  <si>
    <t>&gt;</t>
  </si>
  <si>
    <t>&gt;=</t>
  </si>
  <si>
    <t>Cost Per Boat</t>
  </si>
  <si>
    <t>1 Month</t>
  </si>
  <si>
    <t>Price Characteristics:</t>
  </si>
  <si>
    <t>Decision Variables:</t>
  </si>
  <si>
    <t>Shallow</t>
  </si>
  <si>
    <t>Deep</t>
  </si>
  <si>
    <t>Objective Function:</t>
  </si>
  <si>
    <t>Long</t>
  </si>
  <si>
    <t>Small</t>
  </si>
  <si>
    <t>Medium</t>
  </si>
  <si>
    <t>Length</t>
  </si>
  <si>
    <t>Number of Boats</t>
  </si>
  <si>
    <t>DocPrice</t>
  </si>
  <si>
    <t>DocRate</t>
  </si>
  <si>
    <t>max</t>
  </si>
  <si>
    <t>min</t>
  </si>
  <si>
    <t>DistMax</t>
  </si>
  <si>
    <t>Profit =</t>
  </si>
  <si>
    <t>Hull Depth:</t>
  </si>
  <si>
    <t>Hull Depth and Marina Depth:</t>
  </si>
  <si>
    <t>Min Water Depth</t>
  </si>
  <si>
    <t>2-1</t>
  </si>
  <si>
    <t>Weight</t>
  </si>
  <si>
    <t>Derived Values</t>
  </si>
  <si>
    <t>Placement Charactesistics</t>
  </si>
  <si>
    <t>Anchoring Characteristics</t>
  </si>
  <si>
    <t>Value</t>
  </si>
  <si>
    <t>- The price rate of change from the doc</t>
  </si>
  <si>
    <t>ExitRate</t>
  </si>
  <si>
    <t>Prices:</t>
  </si>
  <si>
    <t>CDoc</t>
  </si>
  <si>
    <t>CExit</t>
  </si>
  <si>
    <t>Depth:</t>
  </si>
  <si>
    <t>Di: 0=shallow, 1=deep</t>
  </si>
  <si>
    <t>Length:</t>
  </si>
  <si>
    <t>angle</t>
  </si>
  <si>
    <t>Marina Border:</t>
  </si>
  <si>
    <t>Boat Collisions:</t>
  </si>
  <si>
    <t>ExitPrice</t>
  </si>
  <si>
    <t>- The price rate fof change from The exit</t>
  </si>
  <si>
    <t>Cost</t>
  </si>
  <si>
    <t>Feet</t>
  </si>
  <si>
    <t>Range</t>
  </si>
  <si>
    <t>All grid cells:</t>
  </si>
  <si>
    <t>-Our solution gives the marina a</t>
  </si>
  <si>
    <t>increase in revenue with no increase in costs!</t>
  </si>
  <si>
    <t>Brian Siefering</t>
  </si>
  <si>
    <t>Amber Mazooji</t>
  </si>
  <si>
    <t>Kevin McKenney</t>
  </si>
  <si>
    <t>Paul Mingardi</t>
  </si>
  <si>
    <t>Vikram Sahney</t>
  </si>
  <si>
    <t>Kaz Maruyama</t>
  </si>
  <si>
    <t>Marina Mooring Optimization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</si>
</sst>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0"/>
      <name val="Arial"/>
      <family val="0"/>
    </font>
    <font>
      <sz val="10"/>
      <color indexed="43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.5"/>
      <name val="Arial"/>
      <family val="0"/>
    </font>
    <font>
      <b/>
      <sz val="9.25"/>
      <name val="Arial"/>
      <family val="0"/>
    </font>
    <font>
      <b/>
      <sz val="13.75"/>
      <name val="Arial"/>
      <family val="2"/>
    </font>
    <font>
      <b/>
      <sz val="14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" fontId="0" fillId="0" borderId="0" xfId="0" applyNumberFormat="1" applyFont="1" applyFill="1" applyBorder="1" applyAlignment="1" quotePrefix="1">
      <alignment horizont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3" borderId="9" xfId="0" applyFont="1" applyFill="1" applyBorder="1" applyAlignment="1">
      <alignment/>
    </xf>
    <xf numFmtId="0" fontId="3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1" xfId="0" applyFont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2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0" borderId="4" xfId="0" applyFill="1" applyBorder="1" applyAlignment="1" quotePrefix="1">
      <alignment horizontal="center"/>
    </xf>
    <xf numFmtId="0" fontId="0" fillId="0" borderId="27" xfId="0" applyFill="1" applyBorder="1" applyAlignment="1" quotePrefix="1">
      <alignment horizontal="center"/>
    </xf>
    <xf numFmtId="0" fontId="0" fillId="0" borderId="37" xfId="0" applyFill="1" applyBorder="1" applyAlignment="1" quotePrefix="1">
      <alignment horizontal="center"/>
    </xf>
    <xf numFmtId="0" fontId="0" fillId="0" borderId="19" xfId="0" applyFill="1" applyBorder="1" applyAlignment="1" quotePrefix="1">
      <alignment horizontal="center"/>
    </xf>
    <xf numFmtId="0" fontId="0" fillId="0" borderId="20" xfId="0" applyFill="1" applyBorder="1" applyAlignment="1" quotePrefix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0" fillId="4" borderId="37" xfId="0" applyNumberFormat="1" applyFill="1" applyBorder="1" applyAlignment="1">
      <alignment horizontal="center"/>
    </xf>
    <xf numFmtId="1" fontId="0" fillId="4" borderId="42" xfId="0" applyNumberFormat="1" applyFill="1" applyBorder="1" applyAlignment="1">
      <alignment horizontal="center"/>
    </xf>
    <xf numFmtId="1" fontId="0" fillId="4" borderId="35" xfId="0" applyNumberFormat="1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1" xfId="0" applyNumberFormat="1" applyFill="1" applyBorder="1" applyAlignment="1" quotePrefix="1">
      <alignment horizontal="center"/>
    </xf>
    <xf numFmtId="1" fontId="0" fillId="0" borderId="1" xfId="0" applyNumberForma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30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3" xfId="0" applyNumberFormat="1" applyBorder="1" applyAlignment="1">
      <alignment/>
    </xf>
    <xf numFmtId="0" fontId="0" fillId="3" borderId="41" xfId="0" applyFill="1" applyBorder="1" applyAlignment="1">
      <alignment/>
    </xf>
    <xf numFmtId="0" fontId="0" fillId="3" borderId="46" xfId="0" applyFill="1" applyBorder="1" applyAlignment="1">
      <alignment/>
    </xf>
    <xf numFmtId="0" fontId="0" fillId="3" borderId="10" xfId="0" applyFill="1" applyBorder="1" applyAlignment="1">
      <alignment/>
    </xf>
    <xf numFmtId="1" fontId="0" fillId="0" borderId="47" xfId="0" applyNumberFormat="1" applyFill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0" fillId="0" borderId="38" xfId="0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Fill="1" applyBorder="1" applyAlignment="1">
      <alignment horizontal="center"/>
    </xf>
    <xf numFmtId="164" fontId="0" fillId="0" borderId="48" xfId="0" applyNumberFormat="1" applyFon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  <xf numFmtId="9" fontId="0" fillId="0" borderId="0" xfId="0" applyNumberFormat="1" applyFont="1" applyAlignment="1">
      <alignment/>
    </xf>
    <xf numFmtId="0" fontId="0" fillId="0" borderId="1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27" xfId="0" applyBorder="1" applyAlignment="1" quotePrefix="1">
      <alignment horizontal="center"/>
    </xf>
    <xf numFmtId="0" fontId="0" fillId="0" borderId="38" xfId="0" applyBorder="1" applyAlignment="1" quotePrefix="1">
      <alignment/>
    </xf>
    <xf numFmtId="165" fontId="0" fillId="0" borderId="0" xfId="0" applyNumberFormat="1" applyBorder="1" applyAlignment="1" quotePrefix="1">
      <alignment/>
    </xf>
    <xf numFmtId="165" fontId="0" fillId="0" borderId="43" xfId="0" applyNumberFormat="1" applyBorder="1" applyAlignment="1" quotePrefix="1">
      <alignment/>
    </xf>
    <xf numFmtId="0" fontId="0" fillId="0" borderId="38" xfId="0" applyBorder="1" applyAlignment="1" quotePrefix="1">
      <alignment horizontal="center"/>
    </xf>
    <xf numFmtId="0" fontId="0" fillId="0" borderId="48" xfId="0" applyBorder="1" applyAlignment="1" quotePrefix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 quotePrefix="1">
      <alignment horizontal="center"/>
    </xf>
    <xf numFmtId="165" fontId="0" fillId="0" borderId="33" xfId="0" applyNumberFormat="1" applyBorder="1" applyAlignment="1" quotePrefix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43" xfId="0" applyNumberFormat="1" applyBorder="1" applyAlignment="1" quotePrefix="1">
      <alignment horizontal="center"/>
    </xf>
    <xf numFmtId="165" fontId="0" fillId="0" borderId="30" xfId="0" applyNumberFormat="1" applyBorder="1" applyAlignment="1" quotePrefix="1">
      <alignment horizontal="center"/>
    </xf>
    <xf numFmtId="1" fontId="0" fillId="0" borderId="42" xfId="0" applyNumberFormat="1" applyFill="1" applyBorder="1" applyAlignment="1" quotePrefix="1">
      <alignment horizontal="center"/>
    </xf>
    <xf numFmtId="1" fontId="0" fillId="0" borderId="35" xfId="0" applyNumberFormat="1" applyFill="1" applyBorder="1" applyAlignment="1" quotePrefix="1">
      <alignment horizontal="center"/>
    </xf>
    <xf numFmtId="1" fontId="0" fillId="0" borderId="6" xfId="0" applyNumberFormat="1" applyFill="1" applyBorder="1" applyAlignment="1" quotePrefix="1">
      <alignment horizontal="center"/>
    </xf>
    <xf numFmtId="1" fontId="0" fillId="0" borderId="48" xfId="0" applyNumberFormat="1" applyFill="1" applyBorder="1" applyAlignment="1" quotePrefix="1">
      <alignment horizontal="center"/>
    </xf>
    <xf numFmtId="1" fontId="0" fillId="0" borderId="38" xfId="0" applyNumberFormat="1" applyFill="1" applyBorder="1" applyAlignment="1" quotePrefix="1">
      <alignment horizontal="center"/>
    </xf>
    <xf numFmtId="0" fontId="0" fillId="0" borderId="43" xfId="0" applyFill="1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1" fontId="0" fillId="0" borderId="38" xfId="0" applyNumberFormat="1" applyFont="1" applyFill="1" applyBorder="1" applyAlignment="1" quotePrefix="1">
      <alignment horizontal="center"/>
    </xf>
    <xf numFmtId="0" fontId="0" fillId="0" borderId="43" xfId="0" applyFont="1" applyBorder="1" applyAlignment="1" quotePrefix="1">
      <alignment horizontal="center"/>
    </xf>
    <xf numFmtId="1" fontId="0" fillId="0" borderId="48" xfId="0" applyNumberFormat="1" applyFont="1" applyFill="1" applyBorder="1" applyAlignment="1" quotePrefix="1">
      <alignment horizontal="center"/>
    </xf>
    <xf numFmtId="0" fontId="0" fillId="0" borderId="30" xfId="0" applyFont="1" applyBorder="1" applyAlignment="1" quotePrefix="1">
      <alignment horizontal="center"/>
    </xf>
    <xf numFmtId="1" fontId="0" fillId="0" borderId="38" xfId="0" applyNumberFormat="1" applyFont="1" applyBorder="1" applyAlignment="1" quotePrefix="1">
      <alignment horizontal="center"/>
    </xf>
    <xf numFmtId="0" fontId="0" fillId="0" borderId="43" xfId="0" applyFont="1" applyFill="1" applyBorder="1" applyAlignment="1" quotePrefix="1">
      <alignment horizontal="center"/>
    </xf>
    <xf numFmtId="1" fontId="0" fillId="0" borderId="48" xfId="0" applyNumberFormat="1" applyFont="1" applyBorder="1" applyAlignment="1" quotePrefix="1">
      <alignment horizontal="center"/>
    </xf>
    <xf numFmtId="0" fontId="0" fillId="0" borderId="3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43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High Doc Placement Costs with Ocean Depth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'Main Model'!$C$29:$V$29</c:f>
              <c:numCache/>
            </c:numRef>
          </c:xVal>
          <c:yVal>
            <c:numRef>
              <c:f>'Main Model'!$C$30:$V$30</c:f>
              <c:numCache/>
            </c:numRef>
          </c:yVal>
          <c:smooth val="0"/>
        </c:ser>
        <c:axId val="38619441"/>
        <c:axId val="12030650"/>
      </c:scatterChart>
      <c:valAx>
        <c:axId val="38619441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0650"/>
        <c:crosses val="autoZero"/>
        <c:crossBetween val="midCat"/>
        <c:dispUnits/>
      </c:valAx>
      <c:valAx>
        <c:axId val="12030650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19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Test 1 - Fixed water depth, no harbor exit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08"/>
          <c:w val="0.941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Doc'!$C$29:$T$29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Doc'!$C$30:$T$30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41166987"/>
        <c:axId val="34958564"/>
      </c:scatterChart>
      <c:valAx>
        <c:axId val="41166987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58564"/>
        <c:crosses val="autoZero"/>
        <c:crossBetween val="midCat"/>
        <c:dispUnits/>
      </c:valAx>
      <c:valAx>
        <c:axId val="3495856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66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Test 2 - Fixed water depth, no dock fee</a:t>
            </a:r>
          </a:p>
        </c:rich>
      </c:tx>
      <c:layout>
        <c:manualLayout>
          <c:xMode val="factor"/>
          <c:yMode val="factor"/>
          <c:x val="-0.004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125"/>
          <c:w val="0.95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Exit'!$C$29:$T$29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Exit'!$C$30:$T$30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46191621"/>
        <c:axId val="13071406"/>
      </c:scatterChart>
      <c:valAx>
        <c:axId val="46191621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1406"/>
        <c:crosses val="autoZero"/>
        <c:crossBetween val="midCat"/>
        <c:dispUnits/>
      </c:valAx>
      <c:valAx>
        <c:axId val="1307140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91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Test 3 - Fixed water depth, equal dock and harbor channel exit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25"/>
          <c:w val="0.958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Equal'!$C$29:$T$29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Equal'!$C$30:$T$30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50533791"/>
        <c:axId val="52150936"/>
      </c:scatterChart>
      <c:valAx>
        <c:axId val="50533791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50936"/>
        <c:crosses val="autoZero"/>
        <c:crossBetween val="midCat"/>
        <c:dispUnits/>
      </c:valAx>
      <c:valAx>
        <c:axId val="52150936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33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 4 - Variable water depth, no exit proximity fee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82"/>
          <c:w val="0.944"/>
          <c:h val="0.86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'Boat Problem Doc Depth'!$C$29:$T$29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'Boat Problem Doc Depth'!$C$30:$T$30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axId val="66705241"/>
        <c:axId val="63476258"/>
      </c:scatterChart>
      <c:valAx>
        <c:axId val="66705241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76258"/>
        <c:crosses val="autoZero"/>
        <c:crossBetween val="midCat"/>
        <c:dispUnits/>
        <c:majorUnit val="100"/>
      </c:valAx>
      <c:valAx>
        <c:axId val="6347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05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Typical Marina with Grid Moorings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'Typical Marina'!$C$29:$R$29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'Typical Marina'!$C$30:$R$30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34415411"/>
        <c:axId val="41303244"/>
      </c:scatterChart>
      <c:valAx>
        <c:axId val="34415411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03244"/>
        <c:crosses val="autoZero"/>
        <c:crossBetween val="midCat"/>
        <c:dispUnits/>
      </c:valAx>
      <c:valAx>
        <c:axId val="4130324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 Coordinate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15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114300</xdr:rowOff>
    </xdr:from>
    <xdr:to>
      <xdr:col>25</xdr:col>
      <xdr:colOff>390525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8601075" y="114300"/>
        <a:ext cx="5000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0</xdr:row>
      <xdr:rowOff>142875</xdr:rowOff>
    </xdr:from>
    <xdr:to>
      <xdr:col>28</xdr:col>
      <xdr:colOff>38100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9896475" y="142875"/>
        <a:ext cx="5019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400050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8591550" y="114300"/>
        <a:ext cx="5019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381000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8591550" y="114300"/>
        <a:ext cx="50006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114300</xdr:rowOff>
    </xdr:from>
    <xdr:to>
      <xdr:col>25</xdr:col>
      <xdr:colOff>390525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8601075" y="114300"/>
        <a:ext cx="5000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0</xdr:row>
      <xdr:rowOff>114300</xdr:rowOff>
    </xdr:from>
    <xdr:to>
      <xdr:col>25</xdr:col>
      <xdr:colOff>419100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8591550" y="114300"/>
        <a:ext cx="5038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9"/>
  <sheetViews>
    <sheetView tabSelected="1" workbookViewId="0" topLeftCell="A1">
      <selection activeCell="E10" sqref="E10"/>
    </sheetView>
  </sheetViews>
  <sheetFormatPr defaultColWidth="9.140625" defaultRowHeight="12.75"/>
  <cols>
    <col min="2" max="2" width="9.140625" style="183" customWidth="1"/>
  </cols>
  <sheetData>
    <row r="3" ht="18">
      <c r="B3" s="181" t="s">
        <v>92</v>
      </c>
    </row>
    <row r="4" ht="12.75">
      <c r="B4" s="182" t="s">
        <v>86</v>
      </c>
    </row>
    <row r="5" ht="12.75">
      <c r="B5" s="182" t="s">
        <v>87</v>
      </c>
    </row>
    <row r="6" ht="12.75">
      <c r="B6" s="182" t="s">
        <v>88</v>
      </c>
    </row>
    <row r="7" ht="12.75">
      <c r="B7" s="182" t="s">
        <v>89</v>
      </c>
    </row>
    <row r="8" ht="12.75">
      <c r="B8" s="182" t="s">
        <v>90</v>
      </c>
    </row>
    <row r="9" ht="12.75">
      <c r="B9" s="182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F25" sqref="F25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4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513.1610518263374</v>
      </c>
      <c r="D29" s="96">
        <v>255.24434560597038</v>
      </c>
      <c r="E29" s="96">
        <v>427.54369278735726</v>
      </c>
      <c r="F29" s="96">
        <v>448.6162354299549</v>
      </c>
      <c r="G29" s="96">
        <v>512.4941675248958</v>
      </c>
      <c r="H29" s="96">
        <v>469.2414785763188</v>
      </c>
      <c r="I29" s="96">
        <v>501.2676838369385</v>
      </c>
      <c r="J29" s="96">
        <v>371.3244525412945</v>
      </c>
      <c r="K29" s="96">
        <v>329.9501074304594</v>
      </c>
      <c r="L29" s="96">
        <v>310.50760073994167</v>
      </c>
      <c r="M29" s="96">
        <v>503.92558239849365</v>
      </c>
      <c r="N29" s="96">
        <v>399.207770046071</v>
      </c>
      <c r="O29" s="96">
        <v>279.42625521919496</v>
      </c>
      <c r="P29" s="96">
        <v>342.8823094836948</v>
      </c>
      <c r="Q29" s="96">
        <v>409.53084200444107</v>
      </c>
      <c r="R29" s="96">
        <v>286.55684892131865</v>
      </c>
      <c r="S29" s="96">
        <v>173.90592779656632</v>
      </c>
      <c r="T29" s="96">
        <v>470.2103954033921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118.43848336115111</v>
      </c>
      <c r="D30" s="99">
        <v>206.35263463855105</v>
      </c>
      <c r="E30" s="99">
        <v>30.972581974142884</v>
      </c>
      <c r="F30" s="99">
        <v>95.63354413479092</v>
      </c>
      <c r="G30" s="99">
        <v>187.78005724402507</v>
      </c>
      <c r="H30" s="99">
        <v>243.50095491380097</v>
      </c>
      <c r="I30" s="99">
        <v>318.73231616306157</v>
      </c>
      <c r="J30" s="99">
        <v>84.28389185880624</v>
      </c>
      <c r="K30" s="99">
        <v>236.7435043543156</v>
      </c>
      <c r="L30" s="99">
        <v>148.76502821901636</v>
      </c>
      <c r="M30" s="99">
        <v>41.07441760150636</v>
      </c>
      <c r="N30" s="99">
        <v>328.8254605623762</v>
      </c>
      <c r="O30" s="99">
        <v>51.17573414465936</v>
      </c>
      <c r="P30" s="99">
        <v>427.42401517747686</v>
      </c>
      <c r="Q30" s="99">
        <v>175.59836753956733</v>
      </c>
      <c r="R30" s="99">
        <v>328.8254605623762</v>
      </c>
      <c r="S30" s="99">
        <v>328.8254605623762</v>
      </c>
      <c r="T30" s="99">
        <v>417.3241975743129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5.722741576162198</v>
      </c>
      <c r="D36" s="87">
        <f t="shared" si="0"/>
        <v>7.001492867469834</v>
      </c>
      <c r="E36" s="87">
        <f t="shared" si="0"/>
        <v>4.45051028326026</v>
      </c>
      <c r="F36" s="87">
        <f t="shared" si="0"/>
        <v>5.391033369233322</v>
      </c>
      <c r="G36" s="87">
        <f t="shared" si="0"/>
        <v>6.731346287185819</v>
      </c>
      <c r="H36" s="87">
        <f t="shared" si="0"/>
        <v>7.541832071473468</v>
      </c>
      <c r="I36" s="87">
        <f t="shared" si="0"/>
        <v>8.636106416917258</v>
      </c>
      <c r="J36" s="87">
        <f t="shared" si="0"/>
        <v>5.225947517946272</v>
      </c>
      <c r="K36" s="87">
        <f t="shared" si="0"/>
        <v>7.4435418815173175</v>
      </c>
      <c r="L36" s="87">
        <f t="shared" si="0"/>
        <v>6.163854955912965</v>
      </c>
      <c r="M36" s="87">
        <f t="shared" si="0"/>
        <v>4.597446074203729</v>
      </c>
      <c r="N36" s="87">
        <f t="shared" si="0"/>
        <v>8.7829157899982</v>
      </c>
      <c r="O36" s="87">
        <f t="shared" si="0"/>
        <v>4.744374314831409</v>
      </c>
      <c r="P36" s="87">
        <f t="shared" si="0"/>
        <v>10.217076584399663</v>
      </c>
      <c r="Q36" s="87">
        <f t="shared" si="0"/>
        <v>6.554158073302798</v>
      </c>
      <c r="R36" s="87">
        <f t="shared" si="0"/>
        <v>8.7829157899982</v>
      </c>
      <c r="S36" s="87">
        <f t="shared" si="0"/>
        <v>8.7829157899982</v>
      </c>
      <c r="T36" s="87">
        <f t="shared" si="0"/>
        <v>10.07017014653546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8.91745385575832</v>
      </c>
      <c r="D37" s="104">
        <f t="shared" si="1"/>
        <v>10.39402866028441</v>
      </c>
      <c r="E37" s="104">
        <f t="shared" si="1"/>
        <v>7.448407696901521</v>
      </c>
      <c r="F37" s="104">
        <f t="shared" si="1"/>
        <v>8.534430210632731</v>
      </c>
      <c r="G37" s="104">
        <f t="shared" si="1"/>
        <v>10.082090258589144</v>
      </c>
      <c r="H37" s="104">
        <f t="shared" si="1"/>
        <v>11.017958630054823</v>
      </c>
      <c r="I37" s="104">
        <f t="shared" si="1"/>
        <v>12.28151780587337</v>
      </c>
      <c r="J37" s="104">
        <f t="shared" si="1"/>
        <v>8.343805489272777</v>
      </c>
      <c r="K37" s="104">
        <f t="shared" si="1"/>
        <v>10.904462894795056</v>
      </c>
      <c r="L37" s="104">
        <f t="shared" si="1"/>
        <v>9.426807712842823</v>
      </c>
      <c r="M37" s="104">
        <f t="shared" si="1"/>
        <v>7.618074533811126</v>
      </c>
      <c r="N37" s="104">
        <f t="shared" si="1"/>
        <v>12.451038668009053</v>
      </c>
      <c r="O37" s="104">
        <f t="shared" si="1"/>
        <v>7.787732652367024</v>
      </c>
      <c r="P37" s="104">
        <f t="shared" si="1"/>
        <v>14.107064909426839</v>
      </c>
      <c r="Q37" s="104">
        <f t="shared" si="1"/>
        <v>9.877490932623962</v>
      </c>
      <c r="R37" s="104">
        <f t="shared" si="1"/>
        <v>12.451038668009053</v>
      </c>
      <c r="S37" s="104">
        <f t="shared" si="1"/>
        <v>12.451038668009053</v>
      </c>
      <c r="T37" s="104">
        <f t="shared" si="1"/>
        <v>13.937431966533666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31.838948173662637</v>
      </c>
      <c r="D38" s="106">
        <f t="shared" si="2"/>
        <v>32.68211750870701</v>
      </c>
      <c r="E38" s="106">
        <f t="shared" si="2"/>
        <v>30.97258197414288</v>
      </c>
      <c r="F38" s="106">
        <f t="shared" si="2"/>
        <v>31.61613620113533</v>
      </c>
      <c r="G38" s="106">
        <f t="shared" si="2"/>
        <v>32.50583247510413</v>
      </c>
      <c r="H38" s="106">
        <f t="shared" si="2"/>
        <v>33.03219654760102</v>
      </c>
      <c r="I38" s="106">
        <f t="shared" si="2"/>
        <v>43.732316163061505</v>
      </c>
      <c r="J38" s="106">
        <f t="shared" si="2"/>
        <v>41.504503254091716</v>
      </c>
      <c r="K38" s="106">
        <f t="shared" si="2"/>
        <v>42.96875117456053</v>
      </c>
      <c r="L38" s="106">
        <f t="shared" si="2"/>
        <v>42.13243266616518</v>
      </c>
      <c r="M38" s="106">
        <f t="shared" si="2"/>
        <v>41.07441760150636</v>
      </c>
      <c r="N38" s="106">
        <f t="shared" si="2"/>
        <v>53.82546056237616</v>
      </c>
      <c r="O38" s="106">
        <f t="shared" si="2"/>
        <v>51.17573414465936</v>
      </c>
      <c r="P38" s="106">
        <f t="shared" si="2"/>
        <v>54.72731342289813</v>
      </c>
      <c r="Q38" s="106">
        <f t="shared" si="2"/>
        <v>52.38971170440554</v>
      </c>
      <c r="R38" s="106">
        <f t="shared" si="2"/>
        <v>53.82546056237616</v>
      </c>
      <c r="S38" s="106">
        <f t="shared" si="2"/>
        <v>53.82546056237616</v>
      </c>
      <c r="T38" s="106">
        <f t="shared" si="2"/>
        <v>54.63554269574789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202.96732919416203</v>
      </c>
      <c r="E43" s="101">
        <f t="shared" si="3"/>
        <v>54.58379686369226</v>
      </c>
      <c r="F43" s="101">
        <f t="shared" si="3"/>
        <v>0</v>
      </c>
      <c r="G43" s="101">
        <f t="shared" si="3"/>
        <v>0</v>
      </c>
      <c r="H43" s="101">
        <f t="shared" si="3"/>
        <v>62.67903711686549</v>
      </c>
      <c r="I43" s="101">
        <f t="shared" si="3"/>
        <v>120.0753694765819</v>
      </c>
      <c r="J43" s="101">
        <f t="shared" si="3"/>
        <v>67.54745650498106</v>
      </c>
      <c r="K43" s="101">
        <f t="shared" si="3"/>
        <v>138.2801915091616</v>
      </c>
      <c r="L43" s="101">
        <f t="shared" si="3"/>
        <v>125.93864956435294</v>
      </c>
      <c r="M43" s="101">
        <f t="shared" si="3"/>
        <v>0</v>
      </c>
      <c r="N43" s="101">
        <f t="shared" si="3"/>
        <v>148.6011980785671</v>
      </c>
      <c r="O43" s="101">
        <f t="shared" si="3"/>
        <v>155.20586076375997</v>
      </c>
      <c r="P43" s="101">
        <f t="shared" si="3"/>
        <v>261.2324189077882</v>
      </c>
      <c r="Q43" s="101">
        <f t="shared" si="3"/>
        <v>29.12028497155947</v>
      </c>
      <c r="R43" s="101">
        <f t="shared" si="3"/>
        <v>218.54772710291513</v>
      </c>
      <c r="S43" s="101">
        <f t="shared" si="3"/>
        <v>308.5306806079111</v>
      </c>
      <c r="T43" s="101">
        <f t="shared" si="3"/>
        <v>210.481514283449</v>
      </c>
      <c r="U43" s="158" t="s">
        <v>37</v>
      </c>
      <c r="V43" s="159" t="s">
        <v>37</v>
      </c>
      <c r="X43" s="108">
        <f>$C29</f>
        <v>513.1610518263374</v>
      </c>
      <c r="Y43" s="109">
        <f>$C30</f>
        <v>118.43848336115111</v>
      </c>
      <c r="Z43" s="105">
        <f>C$38</f>
        <v>31.838948173662637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177.20141272854636</v>
      </c>
      <c r="F44" s="103">
        <f t="shared" si="4"/>
        <v>153.5276980464085</v>
      </c>
      <c r="G44" s="103">
        <f t="shared" si="4"/>
        <v>187.73143957113203</v>
      </c>
      <c r="H44" s="103">
        <f t="shared" si="4"/>
        <v>146.48322418665072</v>
      </c>
      <c r="I44" s="103">
        <f t="shared" si="4"/>
        <v>189.06047417341358</v>
      </c>
      <c r="J44" s="103">
        <f t="shared" si="4"/>
        <v>89.26328036493652</v>
      </c>
      <c r="K44" s="103">
        <f t="shared" si="4"/>
        <v>-4.220357261885965E-05</v>
      </c>
      <c r="L44" s="103">
        <f t="shared" si="4"/>
        <v>-1.6528839793750194E-05</v>
      </c>
      <c r="M44" s="103">
        <f t="shared" si="4"/>
        <v>219.83892125107067</v>
      </c>
      <c r="N44" s="103">
        <f t="shared" si="4"/>
        <v>97.50316412704728</v>
      </c>
      <c r="O44" s="103">
        <f t="shared" si="4"/>
        <v>68.1919340817098</v>
      </c>
      <c r="P44" s="103">
        <f t="shared" si="4"/>
        <v>145.3992484853158</v>
      </c>
      <c r="Q44" s="103">
        <f t="shared" si="4"/>
        <v>67.24996811869696</v>
      </c>
      <c r="R44" s="103">
        <f t="shared" si="4"/>
        <v>34.90470754088284</v>
      </c>
      <c r="S44" s="103">
        <f t="shared" si="4"/>
        <v>55.514635561771485</v>
      </c>
      <c r="T44" s="103">
        <f t="shared" si="4"/>
        <v>208.878958191346</v>
      </c>
      <c r="U44" s="102" t="s">
        <v>37</v>
      </c>
      <c r="V44" s="160" t="s">
        <v>37</v>
      </c>
      <c r="X44" s="108">
        <f>$D29</f>
        <v>255.24434560597038</v>
      </c>
      <c r="Y44" s="109">
        <f>$D30</f>
        <v>206.35263463855105</v>
      </c>
      <c r="Z44" s="105">
        <f>D$38</f>
        <v>32.68211750870701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0.4193113577471621</v>
      </c>
      <c r="G45" s="103">
        <f t="shared" si="5"/>
        <v>109.86161879805248</v>
      </c>
      <c r="H45" s="103">
        <f t="shared" si="5"/>
        <v>147.57549445823116</v>
      </c>
      <c r="I45" s="103">
        <f t="shared" si="5"/>
        <v>217.34878636570812</v>
      </c>
      <c r="J45" s="103">
        <f t="shared" si="5"/>
        <v>0</v>
      </c>
      <c r="K45" s="103">
        <f t="shared" si="5"/>
        <v>148.8001439695439</v>
      </c>
      <c r="L45" s="103">
        <f t="shared" si="5"/>
        <v>87.94469850031301</v>
      </c>
      <c r="M45" s="103">
        <f t="shared" si="5"/>
        <v>0</v>
      </c>
      <c r="N45" s="103">
        <f t="shared" si="5"/>
        <v>209.39965431440427</v>
      </c>
      <c r="O45" s="103">
        <f t="shared" si="5"/>
        <v>62.34062216555209</v>
      </c>
      <c r="P45" s="103">
        <f t="shared" si="5"/>
        <v>314.6903964352465</v>
      </c>
      <c r="Q45" s="103">
        <f t="shared" si="5"/>
        <v>57.38090734209523</v>
      </c>
      <c r="R45" s="103">
        <f t="shared" si="5"/>
        <v>239.73742964607257</v>
      </c>
      <c r="S45" s="103">
        <f t="shared" si="5"/>
        <v>301.4160332746927</v>
      </c>
      <c r="T45" s="103">
        <f t="shared" si="5"/>
        <v>298.0922977494664</v>
      </c>
      <c r="U45" s="102" t="s">
        <v>37</v>
      </c>
      <c r="V45" s="160" t="s">
        <v>37</v>
      </c>
      <c r="X45" s="108">
        <f>$E29</f>
        <v>427.54369278735726</v>
      </c>
      <c r="Y45" s="109">
        <f>$E30</f>
        <v>30.972581974142884</v>
      </c>
      <c r="Z45" s="105">
        <f>E$38</f>
        <v>30.97258197414288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43.00015263314421</v>
      </c>
      <c r="H46" s="103">
        <f t="shared" si="6"/>
        <v>79.65060169265587</v>
      </c>
      <c r="I46" s="103">
        <f t="shared" si="6"/>
        <v>148.87902657294006</v>
      </c>
      <c r="J46" s="103">
        <f t="shared" si="6"/>
        <v>0</v>
      </c>
      <c r="K46" s="103">
        <f t="shared" si="6"/>
        <v>104.78883853867752</v>
      </c>
      <c r="L46" s="103">
        <f t="shared" si="6"/>
        <v>69.22761021883424</v>
      </c>
      <c r="M46" s="103">
        <f t="shared" si="6"/>
        <v>0</v>
      </c>
      <c r="N46" s="103">
        <f t="shared" si="6"/>
        <v>147.92716448418298</v>
      </c>
      <c r="O46" s="103">
        <f t="shared" si="6"/>
        <v>87.14167781703192</v>
      </c>
      <c r="P46" s="103">
        <f t="shared" si="6"/>
        <v>256.8871920069646</v>
      </c>
      <c r="Q46" s="103">
        <f t="shared" si="6"/>
        <v>0</v>
      </c>
      <c r="R46" s="103">
        <f t="shared" si="6"/>
        <v>193.5332518458776</v>
      </c>
      <c r="S46" s="103">
        <f t="shared" si="6"/>
        <v>269.8974422084002</v>
      </c>
      <c r="T46" s="103">
        <f t="shared" si="6"/>
        <v>231.16293655239355</v>
      </c>
      <c r="U46" s="102" t="s">
        <v>37</v>
      </c>
      <c r="V46" s="160" t="s">
        <v>37</v>
      </c>
      <c r="X46" s="108">
        <f>$F29</f>
        <v>448.6162354299549</v>
      </c>
      <c r="Y46" s="109">
        <f>$F30</f>
        <v>95.63354413479092</v>
      </c>
      <c r="Z46" s="105">
        <f>F$38</f>
        <v>31.61613620113533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0</v>
      </c>
      <c r="I47" s="103">
        <f t="shared" si="7"/>
        <v>50.19445025569459</v>
      </c>
      <c r="J47" s="103">
        <f t="shared" si="7"/>
        <v>96.03350071755202</v>
      </c>
      <c r="K47" s="103">
        <f t="shared" si="7"/>
        <v>108.52211745562826</v>
      </c>
      <c r="L47" s="103">
        <f t="shared" si="7"/>
        <v>126.08180109290976</v>
      </c>
      <c r="M47" s="103">
        <f t="shared" si="7"/>
        <v>68.37540770487459</v>
      </c>
      <c r="N47" s="103">
        <f t="shared" si="7"/>
        <v>89.57645597003628</v>
      </c>
      <c r="O47" s="103">
        <f t="shared" si="7"/>
        <v>181.4691188059333</v>
      </c>
      <c r="P47" s="103">
        <f t="shared" si="7"/>
        <v>201.36080663201585</v>
      </c>
      <c r="Q47" s="103">
        <f t="shared" si="7"/>
        <v>13.785890833161815</v>
      </c>
      <c r="R47" s="103">
        <f t="shared" si="7"/>
        <v>175.0171211402855</v>
      </c>
      <c r="S47" s="103">
        <f t="shared" si="7"/>
        <v>275.4599307936865</v>
      </c>
      <c r="T47" s="103">
        <f t="shared" si="7"/>
        <v>141.26477244483124</v>
      </c>
      <c r="U47" s="102" t="s">
        <v>37</v>
      </c>
      <c r="V47" s="160" t="s">
        <v>37</v>
      </c>
      <c r="X47" s="108">
        <f>$G29</f>
        <v>512.4941675248958</v>
      </c>
      <c r="Y47" s="109">
        <f>$G30</f>
        <v>187.78005724402507</v>
      </c>
      <c r="Z47" s="105">
        <f>G$38</f>
        <v>32.50583247510413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0</v>
      </c>
      <c r="J48" s="103">
        <f t="shared" si="8"/>
        <v>107.37990501286568</v>
      </c>
      <c r="K48" s="103">
        <f t="shared" si="8"/>
        <v>58.45423939455145</v>
      </c>
      <c r="L48" s="103">
        <f t="shared" si="8"/>
        <v>104.69028627320023</v>
      </c>
      <c r="M48" s="103">
        <f t="shared" si="8"/>
        <v>126.26984522779688</v>
      </c>
      <c r="N48" s="103">
        <f t="shared" si="8"/>
        <v>18.52799229552049</v>
      </c>
      <c r="O48" s="103">
        <f t="shared" si="8"/>
        <v>181.01199744408905</v>
      </c>
      <c r="P48" s="103">
        <f t="shared" si="8"/>
        <v>130.38692560608382</v>
      </c>
      <c r="Q48" s="103">
        <f t="shared" si="8"/>
        <v>0</v>
      </c>
      <c r="R48" s="103">
        <f t="shared" si="8"/>
        <v>109.77057795733256</v>
      </c>
      <c r="S48" s="103">
        <f t="shared" si="8"/>
        <v>215.55632893905326</v>
      </c>
      <c r="T48" s="103">
        <f t="shared" si="8"/>
        <v>81.15820384004991</v>
      </c>
      <c r="U48" s="102" t="s">
        <v>37</v>
      </c>
      <c r="V48" s="160" t="s">
        <v>37</v>
      </c>
      <c r="X48" s="108">
        <f>$H29</f>
        <v>469.2414785763188</v>
      </c>
      <c r="Y48" s="109">
        <f>$H30</f>
        <v>243.50095491380097</v>
      </c>
      <c r="Z48" s="105">
        <f>H$38</f>
        <v>33.03219654760102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177.81412167110594</v>
      </c>
      <c r="K49" s="103">
        <f t="shared" si="9"/>
        <v>98.22491100025503</v>
      </c>
      <c r="L49" s="103">
        <f t="shared" si="9"/>
        <v>164.6314121482469</v>
      </c>
      <c r="M49" s="103">
        <f t="shared" si="9"/>
        <v>187.8638859602824</v>
      </c>
      <c r="N49" s="103">
        <f t="shared" si="9"/>
        <v>0</v>
      </c>
      <c r="O49" s="103">
        <f t="shared" si="9"/>
        <v>247.65510083539354</v>
      </c>
      <c r="P49" s="103">
        <f t="shared" si="9"/>
        <v>88.63360882616509</v>
      </c>
      <c r="Q49" s="103">
        <f t="shared" si="9"/>
        <v>68.88672307775263</v>
      </c>
      <c r="R49" s="103">
        <f t="shared" si="9"/>
        <v>112.39015695625179</v>
      </c>
      <c r="S49" s="103">
        <f t="shared" si="9"/>
        <v>224.9595371401068</v>
      </c>
      <c r="T49" s="103">
        <f t="shared" si="9"/>
        <v>0</v>
      </c>
      <c r="U49" s="102" t="s">
        <v>37</v>
      </c>
      <c r="V49" s="160" t="s">
        <v>37</v>
      </c>
      <c r="X49" s="108">
        <f>$I29</f>
        <v>501.2676838369385</v>
      </c>
      <c r="Y49" s="109">
        <f>$I30</f>
        <v>318.73231616306157</v>
      </c>
      <c r="Z49" s="105">
        <f>I$38</f>
        <v>43.732316163061505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68.50069872702261</v>
      </c>
      <c r="L50" s="103">
        <f t="shared" si="10"/>
        <v>0</v>
      </c>
      <c r="M50" s="103">
        <f t="shared" si="10"/>
        <v>51.884760097537736</v>
      </c>
      <c r="N50" s="103">
        <f t="shared" si="10"/>
        <v>145.79613845445135</v>
      </c>
      <c r="O50" s="103">
        <f t="shared" si="10"/>
        <v>0</v>
      </c>
      <c r="P50" s="103">
        <f t="shared" si="10"/>
        <v>243.08504281853564</v>
      </c>
      <c r="Q50" s="103">
        <f t="shared" si="10"/>
        <v>0.09094385160895513</v>
      </c>
      <c r="R50" s="103">
        <f t="shared" si="10"/>
        <v>158.4868158703912</v>
      </c>
      <c r="S50" s="103">
        <f t="shared" si="10"/>
        <v>213.95438631313633</v>
      </c>
      <c r="T50" s="103">
        <f t="shared" si="10"/>
        <v>246.27076983862167</v>
      </c>
      <c r="U50" s="102" t="s">
        <v>37</v>
      </c>
      <c r="V50" s="160" t="s">
        <v>37</v>
      </c>
      <c r="X50" s="108">
        <f>$J29</f>
        <v>371.3244525412945</v>
      </c>
      <c r="Y50" s="109">
        <f>$J30</f>
        <v>84.28389185880624</v>
      </c>
      <c r="Z50" s="105">
        <f>J$38</f>
        <v>41.504503254091716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0</v>
      </c>
      <c r="M51" s="103">
        <f t="shared" si="11"/>
        <v>172.78474684988672</v>
      </c>
      <c r="N51" s="103">
        <f t="shared" si="11"/>
        <v>13.426057704169338</v>
      </c>
      <c r="O51" s="103">
        <f t="shared" si="11"/>
        <v>93.17830839709833</v>
      </c>
      <c r="P51" s="103">
        <f t="shared" si="11"/>
        <v>88.42248253422981</v>
      </c>
      <c r="Q51" s="103">
        <f t="shared" si="11"/>
        <v>0</v>
      </c>
      <c r="R51" s="103">
        <f t="shared" si="11"/>
        <v>0</v>
      </c>
      <c r="S51" s="103">
        <f t="shared" si="11"/>
        <v>79.39318478036492</v>
      </c>
      <c r="T51" s="103">
        <f t="shared" si="11"/>
        <v>126.04901388198454</v>
      </c>
      <c r="U51" s="102" t="s">
        <v>37</v>
      </c>
      <c r="V51" s="160" t="s">
        <v>37</v>
      </c>
      <c r="X51" s="108">
        <f>$K29</f>
        <v>329.9501074304594</v>
      </c>
      <c r="Y51" s="109">
        <f>$K30</f>
        <v>236.7435043543156</v>
      </c>
      <c r="Z51" s="105">
        <f>K$38</f>
        <v>42.96875117456053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133.17016580229023</v>
      </c>
      <c r="N52" s="103">
        <f t="shared" si="12"/>
        <v>99.76450046636674</v>
      </c>
      <c r="O52" s="103">
        <f t="shared" si="12"/>
        <v>4.111169045796657</v>
      </c>
      <c r="P52" s="103">
        <f t="shared" si="12"/>
        <v>178.6735902169064</v>
      </c>
      <c r="Q52" s="103">
        <f t="shared" si="12"/>
        <v>3.0723506553276536</v>
      </c>
      <c r="R52" s="103">
        <f t="shared" si="12"/>
        <v>80.68846046003381</v>
      </c>
      <c r="S52" s="103">
        <f t="shared" si="12"/>
        <v>125.05488593805035</v>
      </c>
      <c r="T52" s="103">
        <f t="shared" si="12"/>
        <v>210.68843770737098</v>
      </c>
      <c r="U52" s="102" t="s">
        <v>37</v>
      </c>
      <c r="V52" s="160" t="s">
        <v>37</v>
      </c>
      <c r="X52" s="108">
        <f>$L29</f>
        <v>310.50760073994167</v>
      </c>
      <c r="Y52" s="109">
        <f>$L30</f>
        <v>148.76502821901636</v>
      </c>
      <c r="Z52" s="105">
        <f>L$38</f>
        <v>42.13243266616518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206.31325504392998</v>
      </c>
      <c r="O53" s="103">
        <f t="shared" si="13"/>
        <v>127.47631420714112</v>
      </c>
      <c r="P53" s="103">
        <f t="shared" si="13"/>
        <v>317.7683912946936</v>
      </c>
      <c r="Q53" s="103">
        <f t="shared" si="13"/>
        <v>65.87411980548185</v>
      </c>
      <c r="R53" s="103">
        <f t="shared" si="13"/>
        <v>260.7243431781392</v>
      </c>
      <c r="S53" s="103">
        <f t="shared" si="13"/>
        <v>337.95127822221605</v>
      </c>
      <c r="T53" s="103">
        <f t="shared" si="13"/>
        <v>277.0473834615402</v>
      </c>
      <c r="U53" s="102" t="s">
        <v>37</v>
      </c>
      <c r="V53" s="160" t="s">
        <v>37</v>
      </c>
      <c r="X53" s="108">
        <f>$M29</f>
        <v>503.92558239849365</v>
      </c>
      <c r="Y53" s="109">
        <f>$M30</f>
        <v>41.07441760150636</v>
      </c>
      <c r="Z53" s="105">
        <f>M$38</f>
        <v>41.07441760150636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192.38429084750314</v>
      </c>
      <c r="P54" s="103">
        <f t="shared" si="14"/>
        <v>0</v>
      </c>
      <c r="Q54" s="103">
        <f t="shared" si="14"/>
        <v>42.35926522487313</v>
      </c>
      <c r="R54" s="103">
        <f t="shared" si="14"/>
        <v>0</v>
      </c>
      <c r="S54" s="103">
        <f t="shared" si="14"/>
        <v>112.65092112475237</v>
      </c>
      <c r="T54" s="103">
        <f t="shared" si="14"/>
        <v>0</v>
      </c>
      <c r="U54" s="102" t="s">
        <v>37</v>
      </c>
      <c r="V54" s="160" t="s">
        <v>37</v>
      </c>
      <c r="X54" s="108">
        <f>$N29</f>
        <v>399.207770046071</v>
      </c>
      <c r="Y54" s="109">
        <f>$N30</f>
        <v>328.8254605623762</v>
      </c>
      <c r="Z54" s="105">
        <f>N$38</f>
        <v>53.82546056237616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270.6587951302798</v>
      </c>
      <c r="Q55" s="103">
        <f>SQRT(POWER($X55-Q$29,2)+POWER($Y55-Q$30,2))-(Q$38+$Z55+$I$14)</f>
        <v>71.45731716573638</v>
      </c>
      <c r="R55" s="103">
        <f>SQRT(POWER($X55-R$29,2)+POWER($Y55-R$30,2))-(R$38+$Z55+$I$14)</f>
        <v>167.7400804869438</v>
      </c>
      <c r="S55" s="103">
        <f>SQRT(POWER($X55-S$29,2)+POWER($Y55-S$30,2))-(S$38+$Z55+$I$14)</f>
        <v>187.0239053757887</v>
      </c>
      <c r="T55" s="103">
        <f>SQRT(POWER($X55-T$29,2)+POWER($Y55-T$30,2))-(T$38+$Z55+$I$14)</f>
        <v>302.06071956734104</v>
      </c>
      <c r="U55" s="102" t="s">
        <v>37</v>
      </c>
      <c r="V55" s="160" t="s">
        <v>37</v>
      </c>
      <c r="X55" s="108">
        <f>$O29</f>
        <v>279.42625521919496</v>
      </c>
      <c r="Y55" s="109">
        <f>$O30</f>
        <v>51.17573414465936</v>
      </c>
      <c r="Z55" s="105">
        <f>O$38</f>
        <v>51.17573414465936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148.3790088068458</v>
      </c>
      <c r="R56" s="103">
        <f>SQRT(POWER($X56-R$29,2)+POWER($Y56-R$30,2))-(R$38+$Z56+$I$14)</f>
        <v>0</v>
      </c>
      <c r="S56" s="103">
        <f>SQRT(POWER($X56-S$29,2)+POWER($Y56-S$30,2))-(S$38+$Z56+$I$14)</f>
        <v>82.08641569885094</v>
      </c>
      <c r="T56" s="103">
        <f>SQRT(POWER($X56-T$29,2)+POWER($Y56-T$30,2))-(T$38+$Z56+$I$14)</f>
        <v>13.365166568589672</v>
      </c>
      <c r="U56" s="102" t="s">
        <v>37</v>
      </c>
      <c r="V56" s="160" t="s">
        <v>37</v>
      </c>
      <c r="X56" s="108">
        <f>$P29</f>
        <v>342.8823094836948</v>
      </c>
      <c r="Y56" s="109">
        <f>$P30</f>
        <v>427.42401517747686</v>
      </c>
      <c r="Z56" s="105">
        <f>P$38</f>
        <v>54.72731342289813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85.25656873183712</v>
      </c>
      <c r="S57" s="103">
        <f>SQRT(POWER($X57-S$29,2)+POWER($Y57-S$30,2))-(S$38+$Z57+$I$14)</f>
        <v>169.8500198714282</v>
      </c>
      <c r="T57" s="103">
        <f>SQRT(POWER($X57-T$29,2)+POWER($Y57-T$30,2))-(T$38+$Z57+$I$14)</f>
        <v>137.20031633182998</v>
      </c>
      <c r="U57" s="102" t="s">
        <v>37</v>
      </c>
      <c r="V57" s="160" t="s">
        <v>37</v>
      </c>
      <c r="X57" s="108">
        <f>$Q29</f>
        <v>409.53084200444107</v>
      </c>
      <c r="Y57" s="109">
        <f>$Q30</f>
        <v>175.59836753956733</v>
      </c>
      <c r="Z57" s="105">
        <f>Q$38</f>
        <v>52.38971170440554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0</v>
      </c>
      <c r="T58" s="103">
        <f>SQRT(POWER($X58-T$29,2)+POWER($Y58-T$30,2))-(T$38+$Z58+$I$14)</f>
        <v>90.40329373414252</v>
      </c>
      <c r="U58" s="102" t="s">
        <v>37</v>
      </c>
      <c r="V58" s="160" t="s">
        <v>37</v>
      </c>
      <c r="X58" s="108">
        <f>$R29</f>
        <v>286.55684892131865</v>
      </c>
      <c r="Y58" s="109">
        <f>$R30</f>
        <v>328.8254605623762</v>
      </c>
      <c r="Z58" s="105">
        <f>R$38</f>
        <v>53.82546056237616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195.7773578429406</v>
      </c>
      <c r="U59" s="102" t="s">
        <v>37</v>
      </c>
      <c r="V59" s="160" t="s">
        <v>37</v>
      </c>
      <c r="X59" s="108">
        <f>$S29</f>
        <v>173.90592779656632</v>
      </c>
      <c r="Y59" s="109">
        <f>$S30</f>
        <v>328.8254605623762</v>
      </c>
      <c r="Z59" s="105">
        <f>S$38</f>
        <v>53.82546056237616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470.2103954033921</v>
      </c>
      <c r="Y60" s="109">
        <f>$T30</f>
        <v>417.3241975743129</v>
      </c>
      <c r="Z60" s="105">
        <f>T$38</f>
        <v>54.63554269574789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0</v>
      </c>
      <c r="D67" s="116">
        <f t="shared" si="15"/>
        <v>-257.0735368853226</v>
      </c>
      <c r="E67" s="116">
        <f t="shared" si="15"/>
        <v>-86.48372523849986</v>
      </c>
      <c r="F67" s="116">
        <f t="shared" si="15"/>
        <v>-64.76762836890981</v>
      </c>
      <c r="G67" s="116">
        <f t="shared" si="15"/>
        <v>0</v>
      </c>
      <c r="H67" s="116">
        <f t="shared" si="15"/>
        <v>-42.726324876080184</v>
      </c>
      <c r="I67" s="116">
        <f t="shared" si="15"/>
        <v>0</v>
      </c>
      <c r="J67" s="116">
        <f t="shared" si="15"/>
        <v>-132.1710442046138</v>
      </c>
      <c r="K67" s="116">
        <f t="shared" si="15"/>
        <v>-172.08114139498008</v>
      </c>
      <c r="L67" s="116">
        <f t="shared" si="15"/>
        <v>-192.35996659389315</v>
      </c>
      <c r="M67" s="116">
        <f t="shared" si="15"/>
        <v>0</v>
      </c>
      <c r="N67" s="116">
        <f t="shared" si="15"/>
        <v>-91.96676939155282</v>
      </c>
      <c r="O67" s="116">
        <f t="shared" si="15"/>
        <v>-214.39801063614567</v>
      </c>
      <c r="P67" s="116">
        <f t="shared" si="15"/>
        <v>-147.39037709340704</v>
      </c>
      <c r="Q67" s="116">
        <f t="shared" si="15"/>
        <v>-83.07944629115337</v>
      </c>
      <c r="R67" s="116">
        <f t="shared" si="15"/>
        <v>-204.61769051630517</v>
      </c>
      <c r="S67" s="116">
        <f t="shared" si="15"/>
        <v>-317.26861164105753</v>
      </c>
      <c r="T67" s="116">
        <f t="shared" si="15"/>
        <v>-20.15406190086003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476.32210365267474</v>
      </c>
      <c r="D71" s="116">
        <f t="shared" si="16"/>
        <v>217.56222809726336</v>
      </c>
      <c r="E71" s="116">
        <f t="shared" si="16"/>
        <v>391.5711108132144</v>
      </c>
      <c r="F71" s="116">
        <f t="shared" si="16"/>
        <v>412.0000992288195</v>
      </c>
      <c r="G71" s="116">
        <f t="shared" si="16"/>
        <v>474.9883350497917</v>
      </c>
      <c r="H71" s="116">
        <f t="shared" si="16"/>
        <v>431.2092820287178</v>
      </c>
      <c r="I71" s="116">
        <f t="shared" si="16"/>
        <v>452.535367673877</v>
      </c>
      <c r="J71" s="116">
        <f t="shared" si="16"/>
        <v>324.81994928720275</v>
      </c>
      <c r="K71" s="116">
        <f t="shared" si="16"/>
        <v>281.9813562558989</v>
      </c>
      <c r="L71" s="116">
        <f t="shared" si="16"/>
        <v>263.3751680737765</v>
      </c>
      <c r="M71" s="116">
        <f t="shared" si="16"/>
        <v>457.8511647969873</v>
      </c>
      <c r="N71" s="116">
        <f t="shared" si="16"/>
        <v>340.3823094836948</v>
      </c>
      <c r="O71" s="116">
        <f t="shared" si="16"/>
        <v>223.25052107453558</v>
      </c>
      <c r="P71" s="116">
        <f t="shared" si="16"/>
        <v>283.1549960607967</v>
      </c>
      <c r="Q71" s="116">
        <f t="shared" si="16"/>
        <v>352.1411303000355</v>
      </c>
      <c r="R71" s="116">
        <f t="shared" si="16"/>
        <v>227.7313883589425</v>
      </c>
      <c r="S71" s="116">
        <f t="shared" si="16"/>
        <v>115.08046723419017</v>
      </c>
      <c r="T71" s="116">
        <f t="shared" si="16"/>
        <v>410.57485270764425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-394.7225684651862</v>
      </c>
      <c r="D75" s="122">
        <f t="shared" si="17"/>
        <v>-305.9652478527419</v>
      </c>
      <c r="E75" s="122">
        <f t="shared" si="17"/>
        <v>-483.05483605171423</v>
      </c>
      <c r="F75" s="122">
        <f t="shared" si="17"/>
        <v>-417.75031966407374</v>
      </c>
      <c r="G75" s="122">
        <f t="shared" si="17"/>
        <v>-324.7141102808708</v>
      </c>
      <c r="H75" s="122">
        <f t="shared" si="17"/>
        <v>-268.466848538598</v>
      </c>
      <c r="I75" s="122">
        <f t="shared" si="17"/>
        <v>-182.53536767387692</v>
      </c>
      <c r="J75" s="122">
        <f t="shared" si="17"/>
        <v>-419.21160488710206</v>
      </c>
      <c r="K75" s="122">
        <f t="shared" si="17"/>
        <v>-265.28774447112386</v>
      </c>
      <c r="L75" s="122">
        <f t="shared" si="17"/>
        <v>-354.10253911481846</v>
      </c>
      <c r="M75" s="122">
        <f t="shared" si="17"/>
        <v>-462.8511647969873</v>
      </c>
      <c r="N75" s="122">
        <f t="shared" si="17"/>
        <v>-162.34907887524764</v>
      </c>
      <c r="O75" s="122">
        <f t="shared" si="17"/>
        <v>-442.64853171068125</v>
      </c>
      <c r="P75" s="122">
        <f t="shared" si="17"/>
        <v>-62.848671399625005</v>
      </c>
      <c r="Q75" s="122">
        <f t="shared" si="17"/>
        <v>-317.0119207560271</v>
      </c>
      <c r="R75" s="122">
        <f t="shared" si="17"/>
        <v>-162.34907887524764</v>
      </c>
      <c r="S75" s="122">
        <f t="shared" si="17"/>
        <v>-162.34907887524764</v>
      </c>
      <c r="T75" s="122">
        <f t="shared" si="17"/>
        <v>-73.04025972993918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81.59953518748847</v>
      </c>
      <c r="D79" s="128">
        <f aca="true" t="shared" si="18" ref="D79:T79">D30-D38-J9</f>
        <v>173.67051712984403</v>
      </c>
      <c r="E79" s="128">
        <f t="shared" si="18"/>
        <v>3.552713678800501E-15</v>
      </c>
      <c r="F79" s="128">
        <f t="shared" si="18"/>
        <v>64.01740793365559</v>
      </c>
      <c r="G79" s="128">
        <f t="shared" si="18"/>
        <v>155.27422476892093</v>
      </c>
      <c r="H79" s="128">
        <f t="shared" si="18"/>
        <v>210.46875836619995</v>
      </c>
      <c r="I79" s="128">
        <f t="shared" si="18"/>
        <v>275.00000000000006</v>
      </c>
      <c r="J79" s="128">
        <f t="shared" si="18"/>
        <v>42.779388604714526</v>
      </c>
      <c r="K79" s="128">
        <f t="shared" si="18"/>
        <v>193.77475317975507</v>
      </c>
      <c r="L79" s="128">
        <f t="shared" si="18"/>
        <v>106.63259555285117</v>
      </c>
      <c r="M79" s="128">
        <f t="shared" si="18"/>
        <v>0</v>
      </c>
      <c r="N79" s="128">
        <f t="shared" si="18"/>
        <v>275</v>
      </c>
      <c r="O79" s="128">
        <f t="shared" si="18"/>
        <v>0</v>
      </c>
      <c r="P79" s="128">
        <f t="shared" si="18"/>
        <v>372.6967017545787</v>
      </c>
      <c r="Q79" s="128">
        <f t="shared" si="18"/>
        <v>123.20865583516179</v>
      </c>
      <c r="R79" s="128">
        <f t="shared" si="18"/>
        <v>275</v>
      </c>
      <c r="S79" s="128">
        <f t="shared" si="18"/>
        <v>275</v>
      </c>
      <c r="T79" s="128">
        <f t="shared" si="18"/>
        <v>362.688654878565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4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4</v>
      </c>
      <c r="P84" s="34">
        <f t="shared" si="19"/>
        <v>8</v>
      </c>
      <c r="Q84" s="34">
        <f t="shared" si="19"/>
        <v>4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5.259629602727105</v>
      </c>
      <c r="D85" s="8">
        <f t="shared" si="20"/>
        <v>6.526116612797731</v>
      </c>
      <c r="E85" s="8">
        <f t="shared" si="20"/>
        <v>4</v>
      </c>
      <c r="F85" s="8">
        <f t="shared" si="20"/>
        <v>4.931162297216808</v>
      </c>
      <c r="G85" s="8">
        <f t="shared" si="20"/>
        <v>6.258534178457031</v>
      </c>
      <c r="H85" s="8">
        <f t="shared" si="20"/>
        <v>7.061363758053817</v>
      </c>
      <c r="I85" s="8">
        <f t="shared" si="20"/>
        <v>8</v>
      </c>
      <c r="J85" s="8">
        <f t="shared" si="20"/>
        <v>4.622245652432211</v>
      </c>
      <c r="K85" s="8">
        <f t="shared" si="20"/>
        <v>6.818541864432801</v>
      </c>
      <c r="L85" s="8">
        <f t="shared" si="20"/>
        <v>5.551019571677835</v>
      </c>
      <c r="M85" s="8">
        <f t="shared" si="20"/>
        <v>4</v>
      </c>
      <c r="N85" s="8">
        <f t="shared" si="20"/>
        <v>8</v>
      </c>
      <c r="O85" s="8">
        <f t="shared" si="20"/>
        <v>4</v>
      </c>
      <c r="P85" s="8">
        <f t="shared" si="20"/>
        <v>9.421042934612053</v>
      </c>
      <c r="Q85" s="8">
        <f t="shared" si="20"/>
        <v>5.792125903056899</v>
      </c>
      <c r="R85" s="8">
        <f t="shared" si="20"/>
        <v>8</v>
      </c>
      <c r="S85" s="8">
        <f t="shared" si="20"/>
        <v>8</v>
      </c>
      <c r="T85" s="8">
        <f t="shared" si="20"/>
        <v>9.275471343688217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1.259629602727105</v>
      </c>
      <c r="D86" s="133">
        <f t="shared" si="21"/>
        <v>2.526116612797731</v>
      </c>
      <c r="E86" s="133">
        <f t="shared" si="21"/>
        <v>0</v>
      </c>
      <c r="F86" s="133">
        <f t="shared" si="21"/>
        <v>0.9311622972168081</v>
      </c>
      <c r="G86" s="133">
        <f t="shared" si="21"/>
        <v>2.2585341784570314</v>
      </c>
      <c r="H86" s="133">
        <f t="shared" si="21"/>
        <v>3.061363758053817</v>
      </c>
      <c r="I86" s="133">
        <f t="shared" si="21"/>
        <v>0</v>
      </c>
      <c r="J86" s="133">
        <f t="shared" si="21"/>
        <v>0.6222456524322109</v>
      </c>
      <c r="K86" s="133">
        <f t="shared" si="21"/>
        <v>2.8185418644328006</v>
      </c>
      <c r="L86" s="133">
        <f t="shared" si="21"/>
        <v>1.551019571677835</v>
      </c>
      <c r="M86" s="133">
        <f t="shared" si="21"/>
        <v>0</v>
      </c>
      <c r="N86" s="133">
        <f t="shared" si="21"/>
        <v>0</v>
      </c>
      <c r="O86" s="133">
        <f t="shared" si="21"/>
        <v>0</v>
      </c>
      <c r="P86" s="133">
        <f t="shared" si="21"/>
        <v>1.4210429346120534</v>
      </c>
      <c r="Q86" s="133">
        <f t="shared" si="21"/>
        <v>1.792125903056899</v>
      </c>
      <c r="R86" s="133">
        <f t="shared" si="21"/>
        <v>0</v>
      </c>
      <c r="S86" s="133">
        <f t="shared" si="21"/>
        <v>0</v>
      </c>
      <c r="T86" s="133">
        <f t="shared" si="21"/>
        <v>1.275471343688217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180</v>
      </c>
      <c r="D93" s="34"/>
      <c r="E93" s="132" t="s">
        <v>45</v>
      </c>
      <c r="F93" s="137">
        <f>SUM(C31:T31)*F22</f>
        <v>1200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400</v>
      </c>
      <c r="D94" s="34"/>
      <c r="E94" s="129" t="s">
        <v>44</v>
      </c>
      <c r="F94" s="139">
        <f>(J16-SUM(C31:T31))*F21</f>
        <v>240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1050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423.4563390950093</v>
      </c>
      <c r="D98" s="34">
        <f t="shared" si="22"/>
        <v>277.95795493549656</v>
      </c>
      <c r="E98" s="34">
        <f t="shared" si="22"/>
        <v>422.0511188745039</v>
      </c>
      <c r="F98" s="34">
        <f t="shared" si="22"/>
        <v>413.9922015077914</v>
      </c>
      <c r="G98" s="34">
        <f t="shared" si="22"/>
        <v>381.82995996007367</v>
      </c>
      <c r="H98" s="34">
        <f t="shared" si="22"/>
        <v>341.6839846068975</v>
      </c>
      <c r="I98" s="34">
        <f t="shared" si="22"/>
        <v>301.020930157462</v>
      </c>
      <c r="J98" s="34">
        <f t="shared" si="22"/>
        <v>378.08539502553924</v>
      </c>
      <c r="K98" s="34">
        <f t="shared" si="22"/>
        <v>300.5389101355006</v>
      </c>
      <c r="L98" s="34">
        <f t="shared" si="22"/>
        <v>326.0143782431137</v>
      </c>
      <c r="M98" s="34">
        <f t="shared" si="22"/>
        <v>461.90887993596584</v>
      </c>
      <c r="N98" s="34">
        <f t="shared" si="22"/>
        <v>276.75875176894317</v>
      </c>
      <c r="O98" s="34">
        <f t="shared" si="22"/>
        <v>330.0655144093447</v>
      </c>
      <c r="P98" s="34">
        <f t="shared" si="22"/>
        <v>206.89546698736353</v>
      </c>
      <c r="Q98" s="34">
        <f t="shared" si="22"/>
        <v>361.2303657823964</v>
      </c>
      <c r="R98" s="34">
        <f t="shared" si="22"/>
        <v>239.98550204203826</v>
      </c>
      <c r="S98" s="34">
        <f t="shared" si="22"/>
        <v>191.70797318983062</v>
      </c>
      <c r="T98" s="34">
        <f t="shared" si="22"/>
        <v>237.7996484618215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44.83344437165488</v>
      </c>
      <c r="D99" s="34">
        <f t="shared" si="23"/>
        <v>100.93762478422626</v>
      </c>
      <c r="E99" s="34">
        <f t="shared" si="23"/>
        <v>44.38481736675536</v>
      </c>
      <c r="F99" s="34">
        <f t="shared" si="23"/>
        <v>52.23620001696966</v>
      </c>
      <c r="G99" s="34">
        <f t="shared" si="23"/>
        <v>54.76803791243964</v>
      </c>
      <c r="H99" s="34">
        <f t="shared" si="23"/>
        <v>70.29730724479876</v>
      </c>
      <c r="I99" s="34">
        <f t="shared" si="23"/>
        <v>72.24745865432618</v>
      </c>
      <c r="J99" s="34">
        <f t="shared" si="23"/>
        <v>62.16157323696538</v>
      </c>
      <c r="K99" s="34">
        <f t="shared" si="23"/>
        <v>94.71256770292068</v>
      </c>
      <c r="L99" s="34">
        <f t="shared" si="23"/>
        <v>82.590601729227</v>
      </c>
      <c r="M99" s="34">
        <f t="shared" si="23"/>
        <v>34.2586989984716</v>
      </c>
      <c r="N99" s="34">
        <f t="shared" si="23"/>
        <v>94.3854296759531</v>
      </c>
      <c r="O99" s="34">
        <f t="shared" si="23"/>
        <v>67.68612547464164</v>
      </c>
      <c r="P99" s="34">
        <f t="shared" si="23"/>
        <v>115.73342116308191</v>
      </c>
      <c r="Q99" s="34">
        <f t="shared" si="23"/>
        <v>71.5914074904754</v>
      </c>
      <c r="R99" s="34">
        <f t="shared" si="23"/>
        <v>116.2306457768122</v>
      </c>
      <c r="S99" s="34">
        <f t="shared" si="23"/>
        <v>134.88940197181546</v>
      </c>
      <c r="T99" s="34">
        <f t="shared" si="23"/>
        <v>86.9367018678903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6706.932370279259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H1">
      <selection activeCell="P14" sqref="P14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509.16794879381877</v>
      </c>
      <c r="D29" s="96">
        <v>357.6606874363326</v>
      </c>
      <c r="E29" s="96">
        <v>509.1679487938187</v>
      </c>
      <c r="F29" s="96">
        <v>434.0220966981003</v>
      </c>
      <c r="G29" s="96">
        <v>230.55309718491964</v>
      </c>
      <c r="H29" s="96">
        <v>423.0827198231035</v>
      </c>
      <c r="I29" s="96">
        <v>326.8179085040116</v>
      </c>
      <c r="J29" s="96">
        <v>188.1111451737715</v>
      </c>
      <c r="K29" s="96">
        <v>382.5513731467197</v>
      </c>
      <c r="L29" s="96">
        <v>281.18227608074704</v>
      </c>
      <c r="M29" s="96">
        <v>302.6701880626516</v>
      </c>
      <c r="N29" s="96">
        <v>489.1679487938187</v>
      </c>
      <c r="O29" s="96">
        <v>162.26449976417445</v>
      </c>
      <c r="P29" s="96">
        <v>372.7431244671966</v>
      </c>
      <c r="Q29" s="96">
        <v>489.1679487938187</v>
      </c>
      <c r="R29" s="96">
        <v>276.99517354659463</v>
      </c>
      <c r="S29" s="96">
        <v>424.48794015669716</v>
      </c>
      <c r="T29" s="96">
        <v>208.96346544253257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224.97695539540564</v>
      </c>
      <c r="D30" s="99">
        <v>216.60106933142495</v>
      </c>
      <c r="E30" s="99">
        <v>35.832051206181276</v>
      </c>
      <c r="F30" s="99">
        <v>209.79520610549767</v>
      </c>
      <c r="G30" s="99">
        <v>45.832051206181276</v>
      </c>
      <c r="H30" s="99">
        <v>45.832051206181276</v>
      </c>
      <c r="I30" s="99">
        <v>54.608998106291104</v>
      </c>
      <c r="J30" s="99">
        <v>231.25561089649327</v>
      </c>
      <c r="K30" s="99">
        <v>133.58829674908557</v>
      </c>
      <c r="L30" s="99">
        <v>257.3652600319197</v>
      </c>
      <c r="M30" s="99">
        <v>405.356652721848</v>
      </c>
      <c r="N30" s="99">
        <v>319.5494074900178</v>
      </c>
      <c r="O30" s="99">
        <v>127.77043298775256</v>
      </c>
      <c r="P30" s="99">
        <v>312.08127035968914</v>
      </c>
      <c r="Q30" s="99">
        <v>130.40450330079346</v>
      </c>
      <c r="R30" s="99">
        <v>148.92191258673822</v>
      </c>
      <c r="S30" s="99">
        <v>416.6421944228487</v>
      </c>
      <c r="T30" s="99">
        <v>335.86159581512624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133">
        <f aca="true" t="shared" si="0" ref="C36:T36">$L$7+(($L$8-$L$7)/$I$10)*C30</f>
        <v>12</v>
      </c>
      <c r="D36" s="133">
        <f t="shared" si="0"/>
        <v>12</v>
      </c>
      <c r="E36" s="133">
        <f t="shared" si="0"/>
        <v>12</v>
      </c>
      <c r="F36" s="133">
        <f t="shared" si="0"/>
        <v>12</v>
      </c>
      <c r="G36" s="133">
        <f t="shared" si="0"/>
        <v>12</v>
      </c>
      <c r="H36" s="133">
        <f t="shared" si="0"/>
        <v>12</v>
      </c>
      <c r="I36" s="133">
        <f t="shared" si="0"/>
        <v>12</v>
      </c>
      <c r="J36" s="133">
        <f t="shared" si="0"/>
        <v>12</v>
      </c>
      <c r="K36" s="133">
        <f t="shared" si="0"/>
        <v>12</v>
      </c>
      <c r="L36" s="133">
        <f t="shared" si="0"/>
        <v>12</v>
      </c>
      <c r="M36" s="133">
        <f t="shared" si="0"/>
        <v>12</v>
      </c>
      <c r="N36" s="133">
        <f t="shared" si="0"/>
        <v>12</v>
      </c>
      <c r="O36" s="133">
        <f t="shared" si="0"/>
        <v>12</v>
      </c>
      <c r="P36" s="133">
        <f t="shared" si="0"/>
        <v>12</v>
      </c>
      <c r="Q36" s="133">
        <f t="shared" si="0"/>
        <v>12</v>
      </c>
      <c r="R36" s="133">
        <f t="shared" si="0"/>
        <v>12</v>
      </c>
      <c r="S36" s="133">
        <f t="shared" si="0"/>
        <v>12</v>
      </c>
      <c r="T36" s="133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52">
        <f aca="true" t="shared" si="1" ref="C37:T37">(C36+$D$16)/COS($D$15)</f>
        <v>16.16580753730952</v>
      </c>
      <c r="D37" s="152">
        <f t="shared" si="1"/>
        <v>16.16580753730952</v>
      </c>
      <c r="E37" s="152">
        <f t="shared" si="1"/>
        <v>16.16580753730952</v>
      </c>
      <c r="F37" s="152">
        <f t="shared" si="1"/>
        <v>16.16580753730952</v>
      </c>
      <c r="G37" s="152">
        <f t="shared" si="1"/>
        <v>16.16580753730952</v>
      </c>
      <c r="H37" s="152">
        <f t="shared" si="1"/>
        <v>16.16580753730952</v>
      </c>
      <c r="I37" s="152">
        <f t="shared" si="1"/>
        <v>16.16580753730952</v>
      </c>
      <c r="J37" s="152">
        <f t="shared" si="1"/>
        <v>16.16580753730952</v>
      </c>
      <c r="K37" s="152">
        <f t="shared" si="1"/>
        <v>16.16580753730952</v>
      </c>
      <c r="L37" s="152">
        <f t="shared" si="1"/>
        <v>16.16580753730952</v>
      </c>
      <c r="M37" s="152">
        <f t="shared" si="1"/>
        <v>16.16580753730952</v>
      </c>
      <c r="N37" s="152">
        <f t="shared" si="1"/>
        <v>16.16580753730952</v>
      </c>
      <c r="O37" s="152">
        <f t="shared" si="1"/>
        <v>16.16580753730952</v>
      </c>
      <c r="P37" s="152">
        <f t="shared" si="1"/>
        <v>16.16580753730952</v>
      </c>
      <c r="Q37" s="152">
        <f t="shared" si="1"/>
        <v>16.16580753730952</v>
      </c>
      <c r="R37" s="152">
        <f t="shared" si="1"/>
        <v>16.16580753730952</v>
      </c>
      <c r="S37" s="152">
        <f t="shared" si="1"/>
        <v>16.16580753730952</v>
      </c>
      <c r="T37" s="152">
        <f t="shared" si="1"/>
        <v>16.16580753730952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55">
        <f aca="true" t="shared" si="2" ref="C38:T38">C36*TAN(ACOS(C36/C37))+SUMPRODUCT($F$9:$F$11,C32:C34)+$I$14</f>
        <v>35.832051206181276</v>
      </c>
      <c r="D38" s="155">
        <f t="shared" si="2"/>
        <v>35.832051206181276</v>
      </c>
      <c r="E38" s="155">
        <f t="shared" si="2"/>
        <v>35.832051206181276</v>
      </c>
      <c r="F38" s="155">
        <f t="shared" si="2"/>
        <v>35.832051206181276</v>
      </c>
      <c r="G38" s="155">
        <f t="shared" si="2"/>
        <v>45.832051206181276</v>
      </c>
      <c r="H38" s="155">
        <f t="shared" si="2"/>
        <v>45.832051206181276</v>
      </c>
      <c r="I38" s="155">
        <f t="shared" si="2"/>
        <v>45.832051206181276</v>
      </c>
      <c r="J38" s="155">
        <f t="shared" si="2"/>
        <v>45.832051206181276</v>
      </c>
      <c r="K38" s="155">
        <f t="shared" si="2"/>
        <v>45.832051206181276</v>
      </c>
      <c r="L38" s="155">
        <f t="shared" si="2"/>
        <v>45.832051206181276</v>
      </c>
      <c r="M38" s="155">
        <f t="shared" si="2"/>
        <v>55.832051206181276</v>
      </c>
      <c r="N38" s="155">
        <f t="shared" si="2"/>
        <v>55.832051206181276</v>
      </c>
      <c r="O38" s="155">
        <f t="shared" si="2"/>
        <v>55.832051206181276</v>
      </c>
      <c r="P38" s="155">
        <f t="shared" si="2"/>
        <v>55.832051206181276</v>
      </c>
      <c r="Q38" s="155">
        <f t="shared" si="2"/>
        <v>55.832051206181276</v>
      </c>
      <c r="R38" s="155">
        <f t="shared" si="2"/>
        <v>55.832051206181276</v>
      </c>
      <c r="S38" s="155">
        <f t="shared" si="2"/>
        <v>55.832051206181276</v>
      </c>
      <c r="T38" s="155">
        <f t="shared" si="2"/>
        <v>55.832051206181276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75.07450741190866</v>
      </c>
      <c r="E43" s="101">
        <f t="shared" si="3"/>
        <v>112.4808017768618</v>
      </c>
      <c r="F43" s="101">
        <f t="shared" si="3"/>
        <v>0</v>
      </c>
      <c r="G43" s="101">
        <f t="shared" si="3"/>
        <v>244.57468190193728</v>
      </c>
      <c r="H43" s="101">
        <f t="shared" si="3"/>
        <v>112.0909310934756</v>
      </c>
      <c r="I43" s="101">
        <f t="shared" si="3"/>
        <v>162.88905437905103</v>
      </c>
      <c r="J43" s="101">
        <f t="shared" si="3"/>
        <v>234.4540887036546</v>
      </c>
      <c r="K43" s="101">
        <f t="shared" si="3"/>
        <v>69.48852855417343</v>
      </c>
      <c r="L43" s="101">
        <f t="shared" si="3"/>
        <v>143.61066659123344</v>
      </c>
      <c r="M43" s="101">
        <f t="shared" si="3"/>
        <v>177.52225828883158</v>
      </c>
      <c r="N43" s="101">
        <f t="shared" si="3"/>
        <v>0</v>
      </c>
      <c r="O43" s="101">
        <f t="shared" si="3"/>
        <v>263.6012316780167</v>
      </c>
      <c r="P43" s="101">
        <f t="shared" si="3"/>
        <v>65.19662283606459</v>
      </c>
      <c r="Q43" s="101">
        <f t="shared" si="3"/>
        <v>0</v>
      </c>
      <c r="R43" s="101">
        <f t="shared" si="3"/>
        <v>147.64833505782906</v>
      </c>
      <c r="S43" s="101">
        <f t="shared" si="3"/>
        <v>112.87412253533017</v>
      </c>
      <c r="T43" s="101">
        <f t="shared" si="3"/>
        <v>223.364232747547</v>
      </c>
      <c r="U43" s="158" t="s">
        <v>37</v>
      </c>
      <c r="V43" s="159" t="s">
        <v>37</v>
      </c>
      <c r="X43" s="108">
        <f>$C29</f>
        <v>509.16794879381877</v>
      </c>
      <c r="Y43" s="109">
        <f>$C30</f>
        <v>224.97695539540564</v>
      </c>
      <c r="Z43" s="105">
        <f>C$38</f>
        <v>35.832051206181276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159.20002830278094</v>
      </c>
      <c r="F44" s="103">
        <f t="shared" si="4"/>
        <v>0</v>
      </c>
      <c r="G44" s="103">
        <f t="shared" si="4"/>
        <v>126.21707818136889</v>
      </c>
      <c r="H44" s="103">
        <f t="shared" si="4"/>
        <v>96.20771026820205</v>
      </c>
      <c r="I44" s="103">
        <f t="shared" si="4"/>
        <v>78.23801446937085</v>
      </c>
      <c r="J44" s="103">
        <f t="shared" si="4"/>
        <v>83.51757365743734</v>
      </c>
      <c r="K44" s="103">
        <f t="shared" si="4"/>
        <v>0</v>
      </c>
      <c r="L44" s="103">
        <f t="shared" si="4"/>
        <v>0</v>
      </c>
      <c r="M44" s="103">
        <f t="shared" si="4"/>
        <v>99.9386068325147</v>
      </c>
      <c r="N44" s="103">
        <f t="shared" si="4"/>
        <v>70.34643653462174</v>
      </c>
      <c r="O44" s="103">
        <f t="shared" si="4"/>
        <v>117.9764159201159</v>
      </c>
      <c r="P44" s="103">
        <f t="shared" si="4"/>
        <v>0</v>
      </c>
      <c r="Q44" s="103">
        <f t="shared" si="4"/>
        <v>60.57459443170055</v>
      </c>
      <c r="R44" s="103">
        <f t="shared" si="4"/>
        <v>8.632589790039418</v>
      </c>
      <c r="S44" s="103">
        <f t="shared" si="4"/>
        <v>114.24425075079247</v>
      </c>
      <c r="T44" s="103">
        <f t="shared" si="4"/>
        <v>93.95052715694163</v>
      </c>
      <c r="U44" s="102" t="s">
        <v>37</v>
      </c>
      <c r="V44" s="160" t="s">
        <v>37</v>
      </c>
      <c r="X44" s="108">
        <f>$D29</f>
        <v>357.6606874363326</v>
      </c>
      <c r="Y44" s="109">
        <f>$D30</f>
        <v>216.60106933142495</v>
      </c>
      <c r="Z44" s="105">
        <f>D$38</f>
        <v>35.832051206181276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112.83544468396997</v>
      </c>
      <c r="G45" s="103">
        <f t="shared" si="5"/>
        <v>192.13015064363006</v>
      </c>
      <c r="H45" s="103">
        <f t="shared" si="5"/>
        <v>0</v>
      </c>
      <c r="I45" s="103">
        <f t="shared" si="5"/>
        <v>96.65013851993331</v>
      </c>
      <c r="J45" s="103">
        <f t="shared" si="5"/>
        <v>289.1920387277744</v>
      </c>
      <c r="K45" s="103">
        <f t="shared" si="5"/>
        <v>73.29852063202912</v>
      </c>
      <c r="L45" s="103">
        <f t="shared" si="5"/>
        <v>231.22649130670308</v>
      </c>
      <c r="M45" s="103">
        <f t="shared" si="5"/>
        <v>326.64400796623465</v>
      </c>
      <c r="N45" s="103">
        <f t="shared" si="5"/>
        <v>187.75730721899666</v>
      </c>
      <c r="O45" s="103">
        <f t="shared" si="5"/>
        <v>262.21563927456657</v>
      </c>
      <c r="P45" s="103">
        <f t="shared" si="5"/>
        <v>211.4354980019718</v>
      </c>
      <c r="Q45" s="103">
        <f t="shared" si="5"/>
        <v>0</v>
      </c>
      <c r="R45" s="103">
        <f t="shared" si="5"/>
        <v>161.58677234524905</v>
      </c>
      <c r="S45" s="103">
        <f t="shared" si="5"/>
        <v>293.44750859079863</v>
      </c>
      <c r="T45" s="103">
        <f t="shared" si="5"/>
        <v>327.76546708352396</v>
      </c>
      <c r="U45" s="102" t="s">
        <v>37</v>
      </c>
      <c r="V45" s="160" t="s">
        <v>37</v>
      </c>
      <c r="X45" s="108">
        <f>$E29</f>
        <v>509.1679487938187</v>
      </c>
      <c r="Y45" s="109">
        <f>$E30</f>
        <v>35.832051206181276</v>
      </c>
      <c r="Z45" s="105">
        <f>E$38</f>
        <v>35.832051206181276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174.64711037314336</v>
      </c>
      <c r="H46" s="103">
        <f t="shared" si="6"/>
        <v>77.66357672584726</v>
      </c>
      <c r="I46" s="103">
        <f t="shared" si="6"/>
        <v>101.950576548546</v>
      </c>
      <c r="J46" s="103">
        <f t="shared" si="6"/>
        <v>160.18148708316437</v>
      </c>
      <c r="K46" s="103">
        <f t="shared" si="6"/>
        <v>5.296369620783608</v>
      </c>
      <c r="L46" s="103">
        <f t="shared" si="6"/>
        <v>73.40750905234228</v>
      </c>
      <c r="M46" s="103">
        <f t="shared" si="6"/>
        <v>138.91519061835967</v>
      </c>
      <c r="N46" s="103">
        <f t="shared" si="6"/>
        <v>26.165249637205193</v>
      </c>
      <c r="O46" s="103">
        <f t="shared" si="6"/>
        <v>187.2025122085183</v>
      </c>
      <c r="P46" s="103">
        <f t="shared" si="6"/>
        <v>22.57327167096946</v>
      </c>
      <c r="Q46" s="103">
        <f t="shared" si="6"/>
        <v>0</v>
      </c>
      <c r="R46" s="103">
        <f t="shared" si="6"/>
        <v>71.74911695669385</v>
      </c>
      <c r="S46" s="103">
        <f t="shared" si="6"/>
        <v>110.4024973011459</v>
      </c>
      <c r="T46" s="103">
        <f t="shared" si="6"/>
        <v>161.29737168221916</v>
      </c>
      <c r="U46" s="102" t="s">
        <v>37</v>
      </c>
      <c r="V46" s="160" t="s">
        <v>37</v>
      </c>
      <c r="X46" s="108">
        <f>$F29</f>
        <v>434.0220966981003</v>
      </c>
      <c r="Y46" s="109">
        <f>$F30</f>
        <v>209.79520610549767</v>
      </c>
      <c r="Z46" s="105">
        <f>F$38</f>
        <v>35.832051206181276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95.86552022582131</v>
      </c>
      <c r="I47" s="103">
        <f t="shared" si="7"/>
        <v>0</v>
      </c>
      <c r="J47" s="103">
        <f t="shared" si="7"/>
        <v>93.55476042395895</v>
      </c>
      <c r="K47" s="103">
        <f t="shared" si="7"/>
        <v>78.84838867344604</v>
      </c>
      <c r="L47" s="103">
        <f t="shared" si="7"/>
        <v>120.84362662681241</v>
      </c>
      <c r="M47" s="103">
        <f t="shared" si="7"/>
        <v>260.02215843151737</v>
      </c>
      <c r="N47" s="103">
        <f t="shared" si="7"/>
        <v>269.9030663685942</v>
      </c>
      <c r="O47" s="103">
        <f t="shared" si="7"/>
        <v>9.527112041496366E-07</v>
      </c>
      <c r="P47" s="103">
        <f t="shared" si="7"/>
        <v>195.17467998378234</v>
      </c>
      <c r="Q47" s="103">
        <f t="shared" si="7"/>
        <v>165.42805316362674</v>
      </c>
      <c r="R47" s="103">
        <f t="shared" si="7"/>
        <v>6.403956632825341</v>
      </c>
      <c r="S47" s="103">
        <f t="shared" si="7"/>
        <v>311.7984235452833</v>
      </c>
      <c r="T47" s="103">
        <f t="shared" si="7"/>
        <v>184.1678919500939</v>
      </c>
      <c r="U47" s="102" t="s">
        <v>37</v>
      </c>
      <c r="V47" s="160" t="s">
        <v>37</v>
      </c>
      <c r="X47" s="108">
        <f>$G29</f>
        <v>230.55309718491964</v>
      </c>
      <c r="Y47" s="109">
        <f>$G30</f>
        <v>45.832051206181276</v>
      </c>
      <c r="Z47" s="105">
        <f>G$38</f>
        <v>45.832051206181276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0</v>
      </c>
      <c r="J48" s="103">
        <f t="shared" si="8"/>
        <v>202.65769328820667</v>
      </c>
      <c r="K48" s="103">
        <f t="shared" si="8"/>
        <v>0</v>
      </c>
      <c r="L48" s="103">
        <f t="shared" si="8"/>
        <v>158.05541857178017</v>
      </c>
      <c r="M48" s="103">
        <f t="shared" si="8"/>
        <v>272.48905516378204</v>
      </c>
      <c r="N48" s="103">
        <f t="shared" si="8"/>
        <v>174.91794356913212</v>
      </c>
      <c r="O48" s="103">
        <f t="shared" si="8"/>
        <v>166.7221487483176</v>
      </c>
      <c r="P48" s="103">
        <f t="shared" si="8"/>
        <v>164.30217143080247</v>
      </c>
      <c r="Q48" s="103">
        <f t="shared" si="8"/>
        <v>0.6660291509935519</v>
      </c>
      <c r="R48" s="103">
        <f t="shared" si="8"/>
        <v>72.13492078562243</v>
      </c>
      <c r="S48" s="103">
        <f t="shared" si="8"/>
        <v>264.1487034028511</v>
      </c>
      <c r="T48" s="103">
        <f t="shared" si="8"/>
        <v>253.84136473420327</v>
      </c>
      <c r="U48" s="102" t="s">
        <v>37</v>
      </c>
      <c r="V48" s="160" t="s">
        <v>37</v>
      </c>
      <c r="X48" s="108">
        <f>$H29</f>
        <v>423.0827198231035</v>
      </c>
      <c r="Y48" s="109">
        <f>$H30</f>
        <v>45.832051206181276</v>
      </c>
      <c r="Z48" s="105">
        <f>H$38</f>
        <v>45.832051206181276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127.93240691893328</v>
      </c>
      <c r="K49" s="103">
        <f t="shared" si="9"/>
        <v>0</v>
      </c>
      <c r="L49" s="103">
        <f t="shared" si="9"/>
        <v>111.16446322943136</v>
      </c>
      <c r="M49" s="103">
        <f t="shared" si="9"/>
        <v>244.9138115993513</v>
      </c>
      <c r="N49" s="103">
        <f t="shared" si="9"/>
        <v>204.06239485898166</v>
      </c>
      <c r="O49" s="103">
        <f t="shared" si="9"/>
        <v>73.42037743477542</v>
      </c>
      <c r="P49" s="103">
        <f t="shared" si="9"/>
        <v>154.87193036437188</v>
      </c>
      <c r="Q49" s="103">
        <f t="shared" si="9"/>
        <v>72.50758672906355</v>
      </c>
      <c r="R49" s="103">
        <f t="shared" si="9"/>
        <v>6.093046067690011E-08</v>
      </c>
      <c r="S49" s="103">
        <f t="shared" si="9"/>
        <v>268.3125239501612</v>
      </c>
      <c r="T49" s="103">
        <f t="shared" si="9"/>
        <v>198.28293145958585</v>
      </c>
      <c r="U49" s="102" t="s">
        <v>37</v>
      </c>
      <c r="V49" s="160" t="s">
        <v>37</v>
      </c>
      <c r="X49" s="108">
        <f>$I29</f>
        <v>326.8179085040116</v>
      </c>
      <c r="Y49" s="109">
        <f>$I30</f>
        <v>54.608998106291104</v>
      </c>
      <c r="Z49" s="105">
        <f>I$38</f>
        <v>45.832051206181276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120.92704287379217</v>
      </c>
      <c r="L50" s="103">
        <f t="shared" si="10"/>
        <v>2.5401918719580863E-06</v>
      </c>
      <c r="M50" s="103">
        <f t="shared" si="10"/>
        <v>101.7464229271466</v>
      </c>
      <c r="N50" s="103">
        <f t="shared" si="10"/>
        <v>207.07303839633798</v>
      </c>
      <c r="O50" s="103">
        <f t="shared" si="10"/>
        <v>1.7920658450520932E-06</v>
      </c>
      <c r="P50" s="103">
        <f t="shared" si="10"/>
        <v>94.88429129363615</v>
      </c>
      <c r="Q50" s="103">
        <f t="shared" si="10"/>
        <v>210.83573209027006</v>
      </c>
      <c r="R50" s="103">
        <f t="shared" si="10"/>
        <v>14.49368056975787</v>
      </c>
      <c r="S50" s="103">
        <f t="shared" si="10"/>
        <v>193.7392506947132</v>
      </c>
      <c r="T50" s="103">
        <f t="shared" si="10"/>
        <v>2.8029733698531345E-06</v>
      </c>
      <c r="U50" s="102" t="s">
        <v>37</v>
      </c>
      <c r="V50" s="160" t="s">
        <v>37</v>
      </c>
      <c r="X50" s="108">
        <f>$J29</f>
        <v>188.1111451737715</v>
      </c>
      <c r="Y50" s="109">
        <f>$J30</f>
        <v>231.25561089649327</v>
      </c>
      <c r="Z50" s="105">
        <f>J$38</f>
        <v>45.832051206181276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63.32474244717963</v>
      </c>
      <c r="M51" s="103">
        <f t="shared" si="11"/>
        <v>176.60086725133098</v>
      </c>
      <c r="N51" s="103">
        <f t="shared" si="11"/>
        <v>107.69221055908889</v>
      </c>
      <c r="O51" s="103">
        <f t="shared" si="11"/>
        <v>113.6995836237059</v>
      </c>
      <c r="P51" s="103">
        <f t="shared" si="11"/>
        <v>72.09815135088297</v>
      </c>
      <c r="Q51" s="103">
        <f t="shared" si="11"/>
        <v>0</v>
      </c>
      <c r="R51" s="103">
        <f t="shared" si="11"/>
        <v>1.4308618290215236E-06</v>
      </c>
      <c r="S51" s="103">
        <f t="shared" si="11"/>
        <v>179.47954095734693</v>
      </c>
      <c r="T51" s="103">
        <f t="shared" si="11"/>
        <v>159.88279630562536</v>
      </c>
      <c r="U51" s="102" t="s">
        <v>37</v>
      </c>
      <c r="V51" s="160" t="s">
        <v>37</v>
      </c>
      <c r="X51" s="108">
        <f>$K29</f>
        <v>382.5513731467197</v>
      </c>
      <c r="Y51" s="109">
        <f>$K30</f>
        <v>133.58829674908557</v>
      </c>
      <c r="Z51" s="105">
        <f>K$38</f>
        <v>45.832051206181276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42.87914441492359</v>
      </c>
      <c r="N52" s="103">
        <f t="shared" si="12"/>
        <v>110.41861972138867</v>
      </c>
      <c r="O52" s="103">
        <f t="shared" si="12"/>
        <v>69.22295430496956</v>
      </c>
      <c r="P52" s="103">
        <f t="shared" si="12"/>
        <v>0</v>
      </c>
      <c r="Q52" s="103">
        <f t="shared" si="12"/>
        <v>137.01001152600634</v>
      </c>
      <c r="R52" s="103">
        <f t="shared" si="12"/>
        <v>1.8600489676314709</v>
      </c>
      <c r="S52" s="103">
        <f t="shared" si="12"/>
        <v>107.59194810948702</v>
      </c>
      <c r="T52" s="103">
        <f t="shared" si="12"/>
        <v>2.8029730714251855E-06</v>
      </c>
      <c r="U52" s="102" t="s">
        <v>37</v>
      </c>
      <c r="V52" s="160" t="s">
        <v>37</v>
      </c>
      <c r="X52" s="108">
        <f>$L29</f>
        <v>281.18227608074704</v>
      </c>
      <c r="Y52" s="109">
        <f>$L30</f>
        <v>257.3652600319197</v>
      </c>
      <c r="Z52" s="105">
        <f>L$38</f>
        <v>45.832051206181276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88.62666233855137</v>
      </c>
      <c r="O53" s="103">
        <f t="shared" si="13"/>
        <v>194.41123684299313</v>
      </c>
      <c r="P53" s="103">
        <f t="shared" si="13"/>
        <v>2.483540782804994E-06</v>
      </c>
      <c r="Q53" s="103">
        <f t="shared" si="13"/>
        <v>215.57090361348887</v>
      </c>
      <c r="R53" s="103">
        <f t="shared" si="13"/>
        <v>141.05276222509386</v>
      </c>
      <c r="S53" s="103">
        <f t="shared" si="13"/>
        <v>5.675295071568868</v>
      </c>
      <c r="T53" s="103">
        <f t="shared" si="13"/>
        <v>2.995868442212668E-08</v>
      </c>
      <c r="U53" s="102" t="s">
        <v>37</v>
      </c>
      <c r="V53" s="160" t="s">
        <v>37</v>
      </c>
      <c r="X53" s="108">
        <f>$M29</f>
        <v>302.6701880626516</v>
      </c>
      <c r="Y53" s="109">
        <f>$M30</f>
        <v>405.356652721848</v>
      </c>
      <c r="Z53" s="105">
        <f>M$38</f>
        <v>55.832051206181276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262.3412274296038</v>
      </c>
      <c r="P54" s="103">
        <f t="shared" si="14"/>
        <v>0</v>
      </c>
      <c r="Q54" s="103">
        <f t="shared" si="14"/>
        <v>72.4808017768618</v>
      </c>
      <c r="R54" s="103">
        <f t="shared" si="14"/>
        <v>155.60603655457916</v>
      </c>
      <c r="S54" s="103">
        <f t="shared" si="14"/>
        <v>0</v>
      </c>
      <c r="T54" s="103">
        <f t="shared" si="14"/>
        <v>164.01478881053472</v>
      </c>
      <c r="U54" s="102" t="s">
        <v>37</v>
      </c>
      <c r="V54" s="160" t="s">
        <v>37</v>
      </c>
      <c r="X54" s="108">
        <f>$N29</f>
        <v>489.1679487938187</v>
      </c>
      <c r="Y54" s="109">
        <f>$N30</f>
        <v>319.5494074900178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163.10676138445982</v>
      </c>
      <c r="Q55" s="103">
        <f>SQRT(POWER($X55-Q$29,2)+POWER($Y55-Q$30,2))-(Q$38+$Z55+$I$14)</f>
        <v>210.24995864021938</v>
      </c>
      <c r="R55" s="103">
        <f>SQRT(POWER($X55-R$29,2)+POWER($Y55-R$30,2))-(R$38+$Z55+$I$14)</f>
        <v>-8.395375630243507E-07</v>
      </c>
      <c r="S55" s="103">
        <f>SQRT(POWER($X55-S$29,2)+POWER($Y55-S$30,2))-(S$38+$Z55+$I$14)</f>
        <v>273.47436947410245</v>
      </c>
      <c r="T55" s="103">
        <f>SQRT(POWER($X55-T$29,2)+POWER($Y55-T$30,2))-(T$38+$Z55+$I$14)</f>
        <v>96.60269163274194</v>
      </c>
      <c r="U55" s="102" t="s">
        <v>37</v>
      </c>
      <c r="V55" s="160" t="s">
        <v>37</v>
      </c>
      <c r="X55" s="108">
        <f>$O29</f>
        <v>162.26449976417445</v>
      </c>
      <c r="Y55" s="109">
        <f>$O30</f>
        <v>127.77043298775256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99.11631238114242</v>
      </c>
      <c r="R56" s="103">
        <f>SQRT(POWER($X56-R$29,2)+POWER($Y56-R$30,2))-(R$38+$Z56+$I$14)</f>
        <v>72.51477097041189</v>
      </c>
      <c r="S56" s="103">
        <f>SQRT(POWER($X56-S$29,2)+POWER($Y56-S$30,2))-(S$38+$Z56+$I$14)</f>
        <v>0</v>
      </c>
      <c r="T56" s="103">
        <f>SQRT(POWER($X56-T$29,2)+POWER($Y56-T$30,2))-(T$38+$Z56+$I$14)</f>
        <v>48.83296882758938</v>
      </c>
      <c r="U56" s="102" t="s">
        <v>37</v>
      </c>
      <c r="V56" s="160" t="s">
        <v>37</v>
      </c>
      <c r="X56" s="108">
        <f>$P29</f>
        <v>372.7431244671966</v>
      </c>
      <c r="Y56" s="109">
        <f>$P30</f>
        <v>312.08127035968914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96.31519471008608</v>
      </c>
      <c r="S57" s="103">
        <f>SQRT(POWER($X57-S$29,2)+POWER($Y57-S$30,2))-(S$38+$Z57+$I$14)</f>
        <v>176.79035629662215</v>
      </c>
      <c r="T57" s="103">
        <f>SQRT(POWER($X57-T$29,2)+POWER($Y57-T$30,2))-(T$38+$Z57+$I$14)</f>
        <v>230.79405241294054</v>
      </c>
      <c r="U57" s="102" t="s">
        <v>37</v>
      </c>
      <c r="V57" s="160" t="s">
        <v>37</v>
      </c>
      <c r="X57" s="108">
        <f>$Q29</f>
        <v>489.1679487938187</v>
      </c>
      <c r="Y57" s="109">
        <f>$Q30</f>
        <v>130.40450330079346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188.99627367310362</v>
      </c>
      <c r="T58" s="103">
        <f>SQRT(POWER($X58-T$29,2)+POWER($Y58-T$30,2))-(T$38+$Z58+$I$14)</f>
        <v>82.26995317663497</v>
      </c>
      <c r="U58" s="102" t="s">
        <v>37</v>
      </c>
      <c r="V58" s="160" t="s">
        <v>37</v>
      </c>
      <c r="X58" s="108">
        <f>$R29</f>
        <v>276.99517354659463</v>
      </c>
      <c r="Y58" s="109">
        <f>$R30</f>
        <v>148.92191258673822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113.50171675338271</v>
      </c>
      <c r="U59" s="102" t="s">
        <v>37</v>
      </c>
      <c r="V59" s="160" t="s">
        <v>37</v>
      </c>
      <c r="X59" s="108">
        <f>$S29</f>
        <v>424.48794015669716</v>
      </c>
      <c r="Y59" s="109">
        <f>$S30</f>
        <v>416.6421944228487</v>
      </c>
      <c r="Z59" s="105">
        <f>S$38</f>
        <v>55.832051206181276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208.96346544253257</v>
      </c>
      <c r="Y60" s="109">
        <f>$T30</f>
        <v>335.86159581512624</v>
      </c>
      <c r="Z60" s="105">
        <f>T$38</f>
        <v>55.832051206181276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0</v>
      </c>
      <c r="D67" s="116">
        <f t="shared" si="15"/>
        <v>-151.50726135748613</v>
      </c>
      <c r="E67" s="116">
        <f t="shared" si="15"/>
        <v>0</v>
      </c>
      <c r="F67" s="116">
        <f t="shared" si="15"/>
        <v>-75.1458520957184</v>
      </c>
      <c r="G67" s="116">
        <f t="shared" si="15"/>
        <v>-268.6148516088991</v>
      </c>
      <c r="H67" s="116">
        <f t="shared" si="15"/>
        <v>-76.0852289707152</v>
      </c>
      <c r="I67" s="116">
        <f t="shared" si="15"/>
        <v>-172.3500402898071</v>
      </c>
      <c r="J67" s="116">
        <f t="shared" si="15"/>
        <v>-311.0568036200472</v>
      </c>
      <c r="K67" s="116">
        <f t="shared" si="15"/>
        <v>-116.61657564709901</v>
      </c>
      <c r="L67" s="116">
        <f t="shared" si="15"/>
        <v>-217.98567271307166</v>
      </c>
      <c r="M67" s="116">
        <f t="shared" si="15"/>
        <v>-186.4977607311671</v>
      </c>
      <c r="N67" s="116">
        <f t="shared" si="15"/>
        <v>0</v>
      </c>
      <c r="O67" s="116">
        <f t="shared" si="15"/>
        <v>-326.90344902964426</v>
      </c>
      <c r="P67" s="116">
        <f t="shared" si="15"/>
        <v>-116.42482432662212</v>
      </c>
      <c r="Q67" s="116">
        <f t="shared" si="15"/>
        <v>0</v>
      </c>
      <c r="R67" s="116">
        <f t="shared" si="15"/>
        <v>-212.17277524722408</v>
      </c>
      <c r="S67" s="116">
        <f t="shared" si="15"/>
        <v>-64.68000863712155</v>
      </c>
      <c r="T67" s="116">
        <f t="shared" si="15"/>
        <v>-280.20448335128617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468.3358975876375</v>
      </c>
      <c r="D71" s="116">
        <f t="shared" si="16"/>
        <v>316.8286362301513</v>
      </c>
      <c r="E71" s="116">
        <f t="shared" si="16"/>
        <v>468.3358975876374</v>
      </c>
      <c r="F71" s="116">
        <f t="shared" si="16"/>
        <v>393.190045491919</v>
      </c>
      <c r="G71" s="116">
        <f t="shared" si="16"/>
        <v>179.72104597873835</v>
      </c>
      <c r="H71" s="116">
        <f t="shared" si="16"/>
        <v>372.2506686169222</v>
      </c>
      <c r="I71" s="116">
        <f t="shared" si="16"/>
        <v>275.9858572978303</v>
      </c>
      <c r="J71" s="116">
        <f t="shared" si="16"/>
        <v>137.2790939675902</v>
      </c>
      <c r="K71" s="116">
        <f t="shared" si="16"/>
        <v>331.7193219405384</v>
      </c>
      <c r="L71" s="116">
        <f t="shared" si="16"/>
        <v>230.35022487456575</v>
      </c>
      <c r="M71" s="116">
        <f t="shared" si="16"/>
        <v>241.83813685647033</v>
      </c>
      <c r="N71" s="116">
        <f t="shared" si="16"/>
        <v>428.3358975876374</v>
      </c>
      <c r="O71" s="116">
        <f t="shared" si="16"/>
        <v>101.43244855799317</v>
      </c>
      <c r="P71" s="116">
        <f t="shared" si="16"/>
        <v>311.9110732610153</v>
      </c>
      <c r="Q71" s="116">
        <f t="shared" si="16"/>
        <v>428.3358975876374</v>
      </c>
      <c r="R71" s="116">
        <f t="shared" si="16"/>
        <v>216.16312234041334</v>
      </c>
      <c r="S71" s="116">
        <f t="shared" si="16"/>
        <v>363.6558889505159</v>
      </c>
      <c r="T71" s="116">
        <f t="shared" si="16"/>
        <v>148.1314142363513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-284.19099339841307</v>
      </c>
      <c r="D75" s="122">
        <f t="shared" si="17"/>
        <v>-292.5668794623938</v>
      </c>
      <c r="E75" s="122">
        <f t="shared" si="17"/>
        <v>-473.3358975876374</v>
      </c>
      <c r="F75" s="122">
        <f t="shared" si="17"/>
        <v>-299.37274268832107</v>
      </c>
      <c r="G75" s="122">
        <f t="shared" si="17"/>
        <v>-453.3358975876374</v>
      </c>
      <c r="H75" s="122">
        <f t="shared" si="17"/>
        <v>-453.3358975876374</v>
      </c>
      <c r="I75" s="122">
        <f t="shared" si="17"/>
        <v>-444.5589506875276</v>
      </c>
      <c r="J75" s="122">
        <f t="shared" si="17"/>
        <v>-267.9123378973255</v>
      </c>
      <c r="K75" s="122">
        <f t="shared" si="17"/>
        <v>-365.57965204473317</v>
      </c>
      <c r="L75" s="122">
        <f t="shared" si="17"/>
        <v>-241.802688761899</v>
      </c>
      <c r="M75" s="122">
        <f t="shared" si="17"/>
        <v>-83.81129607197073</v>
      </c>
      <c r="N75" s="122">
        <f t="shared" si="17"/>
        <v>-169.6185413038009</v>
      </c>
      <c r="O75" s="122">
        <f t="shared" si="17"/>
        <v>-361.39751580606617</v>
      </c>
      <c r="P75" s="122">
        <f t="shared" si="17"/>
        <v>-177.08667843412957</v>
      </c>
      <c r="Q75" s="122">
        <f t="shared" si="17"/>
        <v>-358.76344549302524</v>
      </c>
      <c r="R75" s="122">
        <f t="shared" si="17"/>
        <v>-340.2460362070805</v>
      </c>
      <c r="S75" s="122">
        <f t="shared" si="17"/>
        <v>-72.52575437096999</v>
      </c>
      <c r="T75" s="122">
        <f t="shared" si="17"/>
        <v>-153.30635297869247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184.14490418922435</v>
      </c>
      <c r="D79" s="128">
        <f aca="true" t="shared" si="18" ref="D79:T79">D30-D38-J9</f>
        <v>180.7690181252437</v>
      </c>
      <c r="E79" s="128">
        <f t="shared" si="18"/>
        <v>0</v>
      </c>
      <c r="F79" s="128">
        <f t="shared" si="18"/>
        <v>173.9631548993164</v>
      </c>
      <c r="G79" s="128">
        <f t="shared" si="18"/>
        <v>0</v>
      </c>
      <c r="H79" s="128">
        <f t="shared" si="18"/>
        <v>0</v>
      </c>
      <c r="I79" s="128">
        <f t="shared" si="18"/>
        <v>8.776946900109827</v>
      </c>
      <c r="J79" s="128">
        <f t="shared" si="18"/>
        <v>185.423559690312</v>
      </c>
      <c r="K79" s="128">
        <f t="shared" si="18"/>
        <v>87.7562455429043</v>
      </c>
      <c r="L79" s="128">
        <f t="shared" si="18"/>
        <v>211.53320882573843</v>
      </c>
      <c r="M79" s="128">
        <f t="shared" si="18"/>
        <v>349.5246015156667</v>
      </c>
      <c r="N79" s="128">
        <f t="shared" si="18"/>
        <v>263.7173562838365</v>
      </c>
      <c r="O79" s="128">
        <f t="shared" si="18"/>
        <v>71.93838178157128</v>
      </c>
      <c r="P79" s="128">
        <f t="shared" si="18"/>
        <v>256.24921915350785</v>
      </c>
      <c r="Q79" s="128">
        <f t="shared" si="18"/>
        <v>74.57245209461219</v>
      </c>
      <c r="R79" s="128">
        <f t="shared" si="18"/>
        <v>93.08986138055694</v>
      </c>
      <c r="S79" s="128">
        <f t="shared" si="18"/>
        <v>360.8101432166674</v>
      </c>
      <c r="T79" s="128">
        <f t="shared" si="18"/>
        <v>280.02954460894495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358.89604832059115</v>
      </c>
      <c r="D98" s="34">
        <f t="shared" si="22"/>
        <v>321.2395106972091</v>
      </c>
      <c r="E98" s="34">
        <f t="shared" si="22"/>
        <v>466.4755003668661</v>
      </c>
      <c r="F98" s="34">
        <f t="shared" si="22"/>
        <v>352.06706037029574</v>
      </c>
      <c r="G98" s="34">
        <f t="shared" si="22"/>
        <v>300.84705861987766</v>
      </c>
      <c r="H98" s="34">
        <f t="shared" si="22"/>
        <v>416.72751883738744</v>
      </c>
      <c r="I98" s="34">
        <f t="shared" si="22"/>
        <v>358.2088234199326</v>
      </c>
      <c r="J98" s="34">
        <f t="shared" si="22"/>
        <v>234.97045769349353</v>
      </c>
      <c r="K98" s="34">
        <f t="shared" si="22"/>
        <v>367.8100830739096</v>
      </c>
      <c r="L98" s="34">
        <f t="shared" si="22"/>
        <v>270.33850110884595</v>
      </c>
      <c r="M98" s="34">
        <f t="shared" si="22"/>
        <v>206.96237138404626</v>
      </c>
      <c r="N98" s="34">
        <f t="shared" si="22"/>
        <v>299.26100055012745</v>
      </c>
      <c r="O98" s="34">
        <f t="shared" si="22"/>
        <v>248.06727570869822</v>
      </c>
      <c r="P98" s="34">
        <f t="shared" si="22"/>
        <v>278.5139919674939</v>
      </c>
      <c r="Q98" s="34">
        <f t="shared" si="22"/>
        <v>411.20054050270596</v>
      </c>
      <c r="R98" s="34">
        <f t="shared" si="22"/>
        <v>308.089900734505</v>
      </c>
      <c r="S98" s="34">
        <f t="shared" si="22"/>
        <v>231.47215997252187</v>
      </c>
      <c r="T98" s="34">
        <f t="shared" si="22"/>
        <v>204.6176386235394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60.20971942218057</v>
      </c>
      <c r="D99" s="34">
        <f t="shared" si="23"/>
        <v>86.84784716194412</v>
      </c>
      <c r="E99" s="34">
        <f t="shared" si="23"/>
        <v>32.543036141625805</v>
      </c>
      <c r="F99" s="34">
        <f t="shared" si="23"/>
        <v>72.38157841960044</v>
      </c>
      <c r="G99" s="34">
        <f t="shared" si="23"/>
        <v>71.70657560645907</v>
      </c>
      <c r="H99" s="34">
        <f t="shared" si="23"/>
        <v>47.68903279457899</v>
      </c>
      <c r="I99" s="34">
        <f t="shared" si="23"/>
        <v>62.65806104537569</v>
      </c>
      <c r="J99" s="34">
        <f t="shared" si="23"/>
        <v>114.34959825384351</v>
      </c>
      <c r="K99" s="34">
        <f t="shared" si="23"/>
        <v>69.14323006232925</v>
      </c>
      <c r="L99" s="34">
        <f t="shared" si="23"/>
        <v>106.08397055688711</v>
      </c>
      <c r="M99" s="34">
        <f t="shared" si="23"/>
        <v>122.36978439097045</v>
      </c>
      <c r="N99" s="34">
        <f t="shared" si="23"/>
        <v>74.86519434330188</v>
      </c>
      <c r="O99" s="34">
        <f t="shared" si="23"/>
        <v>95.32193837210107</v>
      </c>
      <c r="P99" s="34">
        <f t="shared" si="23"/>
        <v>97.6670045573566</v>
      </c>
      <c r="Q99" s="34">
        <f t="shared" si="23"/>
        <v>50.85810472441588</v>
      </c>
      <c r="R99" s="34">
        <f t="shared" si="23"/>
        <v>87.20006263390098</v>
      </c>
      <c r="S99" s="34">
        <f t="shared" si="23"/>
        <v>97.03271941532236</v>
      </c>
      <c r="T99" s="34">
        <f t="shared" si="23"/>
        <v>130.75997016503624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7337.726435009639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X30" sqref="X30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200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500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0.231416764751961</v>
      </c>
      <c r="J24" s="58" t="s">
        <v>67</v>
      </c>
    </row>
    <row r="25" spans="8:10" ht="13.5" thickBot="1">
      <c r="H25" s="49" t="s">
        <v>68</v>
      </c>
      <c r="I25" s="52">
        <f>(I22-J22)/I11</f>
        <v>0.617111372671896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43.316055989194524</v>
      </c>
      <c r="D29" s="96">
        <v>40.832051206181276</v>
      </c>
      <c r="E29" s="96">
        <v>40.832051206181276</v>
      </c>
      <c r="F29" s="96">
        <v>108.43225383848998</v>
      </c>
      <c r="G29" s="96">
        <v>215.28761773839443</v>
      </c>
      <c r="H29" s="96">
        <v>216.06321168043726</v>
      </c>
      <c r="I29" s="96">
        <v>309.5236644736146</v>
      </c>
      <c r="J29" s="96">
        <v>125.01190707134054</v>
      </c>
      <c r="K29" s="96">
        <v>50.832051206181276</v>
      </c>
      <c r="L29" s="96">
        <v>308.4114703667996</v>
      </c>
      <c r="M29" s="96">
        <v>368.72711792260594</v>
      </c>
      <c r="N29" s="96">
        <v>395.6960035970813</v>
      </c>
      <c r="O29" s="96">
        <v>144.0035998862151</v>
      </c>
      <c r="P29" s="96">
        <v>135.40450330079346</v>
      </c>
      <c r="Q29" s="96">
        <v>204.14323514780168</v>
      </c>
      <c r="R29" s="96">
        <v>252.06860571315602</v>
      </c>
      <c r="S29" s="96">
        <v>287.3472295326166</v>
      </c>
      <c r="T29" s="96">
        <v>407.60876230323095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355.8799968375239</v>
      </c>
      <c r="D30" s="99">
        <v>509.16794879381877</v>
      </c>
      <c r="E30" s="99">
        <v>432.50384638145624</v>
      </c>
      <c r="F30" s="99">
        <v>396.34313285470154</v>
      </c>
      <c r="G30" s="99">
        <v>276.72188790663216</v>
      </c>
      <c r="H30" s="99">
        <v>118.73314224036463</v>
      </c>
      <c r="I30" s="99">
        <v>399.30056335133895</v>
      </c>
      <c r="J30" s="99">
        <v>311.2797344649188</v>
      </c>
      <c r="K30" s="99">
        <v>249.3015312075485</v>
      </c>
      <c r="L30" s="99">
        <v>302.64285947080765</v>
      </c>
      <c r="M30" s="99">
        <v>488.02588016197694</v>
      </c>
      <c r="N30" s="99">
        <v>241.33504071020738</v>
      </c>
      <c r="O30" s="99">
        <v>197.37568735307605</v>
      </c>
      <c r="P30" s="99">
        <v>489.16794879381877</v>
      </c>
      <c r="Q30" s="99">
        <v>382.80220408314744</v>
      </c>
      <c r="R30" s="99">
        <v>489.1679487938187</v>
      </c>
      <c r="S30" s="99">
        <v>198.07934279392072</v>
      </c>
      <c r="T30" s="99">
        <v>357.38933153671235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87">
        <f t="shared" si="0"/>
        <v>12</v>
      </c>
      <c r="T36" s="87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16.16580753730952</v>
      </c>
      <c r="D37" s="104">
        <f t="shared" si="1"/>
        <v>16.16580753730952</v>
      </c>
      <c r="E37" s="104">
        <f t="shared" si="1"/>
        <v>16.16580753730952</v>
      </c>
      <c r="F37" s="104">
        <f t="shared" si="1"/>
        <v>16.16580753730952</v>
      </c>
      <c r="G37" s="104">
        <f t="shared" si="1"/>
        <v>16.16580753730952</v>
      </c>
      <c r="H37" s="104">
        <f t="shared" si="1"/>
        <v>16.16580753730952</v>
      </c>
      <c r="I37" s="104">
        <f t="shared" si="1"/>
        <v>16.16580753730952</v>
      </c>
      <c r="J37" s="104">
        <f t="shared" si="1"/>
        <v>16.16580753730952</v>
      </c>
      <c r="K37" s="104">
        <f t="shared" si="1"/>
        <v>16.16580753730952</v>
      </c>
      <c r="L37" s="104">
        <f t="shared" si="1"/>
        <v>16.16580753730952</v>
      </c>
      <c r="M37" s="104">
        <f t="shared" si="1"/>
        <v>16.16580753730952</v>
      </c>
      <c r="N37" s="104">
        <f t="shared" si="1"/>
        <v>16.16580753730952</v>
      </c>
      <c r="O37" s="104">
        <f t="shared" si="1"/>
        <v>16.16580753730952</v>
      </c>
      <c r="P37" s="104">
        <f t="shared" si="1"/>
        <v>16.16580753730952</v>
      </c>
      <c r="Q37" s="104">
        <f t="shared" si="1"/>
        <v>16.16580753730952</v>
      </c>
      <c r="R37" s="104">
        <f t="shared" si="1"/>
        <v>16.16580753730952</v>
      </c>
      <c r="S37" s="104">
        <f t="shared" si="1"/>
        <v>16.16580753730952</v>
      </c>
      <c r="T37" s="104">
        <f t="shared" si="1"/>
        <v>16.16580753730952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35.832051206181276</v>
      </c>
      <c r="D38" s="106">
        <f t="shared" si="2"/>
        <v>35.832051206181276</v>
      </c>
      <c r="E38" s="106">
        <f t="shared" si="2"/>
        <v>35.832051206181276</v>
      </c>
      <c r="F38" s="106">
        <f t="shared" si="2"/>
        <v>35.832051206181276</v>
      </c>
      <c r="G38" s="106">
        <f t="shared" si="2"/>
        <v>45.832051206181276</v>
      </c>
      <c r="H38" s="106">
        <f t="shared" si="2"/>
        <v>45.832051206181276</v>
      </c>
      <c r="I38" s="106">
        <f t="shared" si="2"/>
        <v>45.832051206181276</v>
      </c>
      <c r="J38" s="106">
        <f t="shared" si="2"/>
        <v>45.832051206181276</v>
      </c>
      <c r="K38" s="106">
        <f t="shared" si="2"/>
        <v>45.832051206181276</v>
      </c>
      <c r="L38" s="106">
        <f t="shared" si="2"/>
        <v>45.832051206181276</v>
      </c>
      <c r="M38" s="106">
        <f t="shared" si="2"/>
        <v>55.832051206181276</v>
      </c>
      <c r="N38" s="106">
        <f t="shared" si="2"/>
        <v>55.832051206181276</v>
      </c>
      <c r="O38" s="106">
        <f t="shared" si="2"/>
        <v>55.832051206181276</v>
      </c>
      <c r="P38" s="106">
        <f t="shared" si="2"/>
        <v>55.832051206181276</v>
      </c>
      <c r="Q38" s="106">
        <f t="shared" si="2"/>
        <v>55.832051206181276</v>
      </c>
      <c r="R38" s="106">
        <f t="shared" si="2"/>
        <v>55.832051206181276</v>
      </c>
      <c r="S38" s="106">
        <f t="shared" si="2"/>
        <v>55.832051206181276</v>
      </c>
      <c r="T38" s="106">
        <f t="shared" si="2"/>
        <v>55.832051206181276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76.64397465703846</v>
      </c>
      <c r="E43" s="101">
        <f t="shared" si="3"/>
        <v>0</v>
      </c>
      <c r="F43" s="101">
        <f t="shared" si="3"/>
        <v>0</v>
      </c>
      <c r="G43" s="101">
        <f t="shared" si="3"/>
        <v>102.65104294049556</v>
      </c>
      <c r="H43" s="101">
        <f t="shared" si="3"/>
        <v>206.7301893602291</v>
      </c>
      <c r="I43" s="101">
        <f t="shared" si="3"/>
        <v>183.06138101731804</v>
      </c>
      <c r="J43" s="101">
        <f t="shared" si="3"/>
        <v>6.413260505488694</v>
      </c>
      <c r="K43" s="101">
        <f t="shared" si="3"/>
        <v>20.17905141670417</v>
      </c>
      <c r="L43" s="101">
        <f t="shared" si="3"/>
        <v>183.72408431005468</v>
      </c>
      <c r="M43" s="101">
        <f t="shared" si="3"/>
        <v>254.55505097798212</v>
      </c>
      <c r="N43" s="101">
        <f t="shared" si="3"/>
        <v>273.8654840586046</v>
      </c>
      <c r="O43" s="101">
        <f t="shared" si="3"/>
        <v>91.11661443885214</v>
      </c>
      <c r="P43" s="101">
        <f t="shared" si="3"/>
        <v>65.34194767517184</v>
      </c>
      <c r="Q43" s="101">
        <f t="shared" si="3"/>
        <v>66.40087481785395</v>
      </c>
      <c r="R43" s="101">
        <f t="shared" si="3"/>
        <v>151.01170414322044</v>
      </c>
      <c r="S43" s="101">
        <f t="shared" si="3"/>
        <v>193.9426078982714</v>
      </c>
      <c r="T43" s="101">
        <f t="shared" si="3"/>
        <v>267.63173062013175</v>
      </c>
      <c r="U43" s="158" t="s">
        <v>37</v>
      </c>
      <c r="V43" s="159" t="s">
        <v>37</v>
      </c>
      <c r="X43" s="108">
        <f>$C29</f>
        <v>43.316055989194524</v>
      </c>
      <c r="Y43" s="109">
        <f>$C30</f>
        <v>355.8799968375239</v>
      </c>
      <c r="Z43" s="105">
        <f>C$38</f>
        <v>35.832051206181276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0</v>
      </c>
      <c r="F44" s="103">
        <f t="shared" si="4"/>
        <v>54.862421481583965</v>
      </c>
      <c r="G44" s="103">
        <f t="shared" si="4"/>
        <v>203.96610234282994</v>
      </c>
      <c r="H44" s="103">
        <f t="shared" si="4"/>
        <v>341.29068231329927</v>
      </c>
      <c r="I44" s="103">
        <f t="shared" si="4"/>
        <v>203.62200718336433</v>
      </c>
      <c r="J44" s="103">
        <f t="shared" si="4"/>
        <v>128.38471414741215</v>
      </c>
      <c r="K44" s="103">
        <f t="shared" si="4"/>
        <v>173.3946505438142</v>
      </c>
      <c r="L44" s="103">
        <f t="shared" si="4"/>
        <v>251.34678214346295</v>
      </c>
      <c r="M44" s="103">
        <f t="shared" si="4"/>
        <v>231.91185812492645</v>
      </c>
      <c r="N44" s="103">
        <f t="shared" si="4"/>
        <v>347.92884777805057</v>
      </c>
      <c r="O44" s="103">
        <f t="shared" si="4"/>
        <v>231.75450660876012</v>
      </c>
      <c r="P44" s="103">
        <f t="shared" si="4"/>
        <v>0</v>
      </c>
      <c r="Q44" s="103">
        <f t="shared" si="4"/>
        <v>109.82765102272342</v>
      </c>
      <c r="R44" s="103">
        <f t="shared" si="4"/>
        <v>115.51714548664035</v>
      </c>
      <c r="S44" s="103">
        <f t="shared" si="4"/>
        <v>300.2563605626194</v>
      </c>
      <c r="T44" s="103">
        <f t="shared" si="4"/>
        <v>300.27657887345356</v>
      </c>
      <c r="U44" s="102" t="s">
        <v>37</v>
      </c>
      <c r="V44" s="160" t="s">
        <v>37</v>
      </c>
      <c r="X44" s="108">
        <f>$D29</f>
        <v>40.832051206181276</v>
      </c>
      <c r="Y44" s="109">
        <f>$D30</f>
        <v>509.16794879381877</v>
      </c>
      <c r="Z44" s="105">
        <f>D$38</f>
        <v>35.832051206181276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0</v>
      </c>
      <c r="G45" s="103">
        <f t="shared" si="5"/>
        <v>147.22211625031807</v>
      </c>
      <c r="H45" s="103">
        <f t="shared" si="5"/>
        <v>272.7215043922936</v>
      </c>
      <c r="I45" s="103">
        <f t="shared" si="5"/>
        <v>184.07126846524184</v>
      </c>
      <c r="J45" s="103">
        <f t="shared" si="5"/>
        <v>60.92157928959722</v>
      </c>
      <c r="K45" s="103">
        <f t="shared" si="5"/>
        <v>96.81093208846491</v>
      </c>
      <c r="L45" s="103">
        <f t="shared" si="5"/>
        <v>210.76256330498958</v>
      </c>
      <c r="M45" s="103">
        <f t="shared" si="5"/>
        <v>235.8984796862462</v>
      </c>
      <c r="N45" s="103">
        <f t="shared" si="5"/>
        <v>306.4164564939963</v>
      </c>
      <c r="O45" s="103">
        <f t="shared" si="5"/>
        <v>160.10353500542388</v>
      </c>
      <c r="P45" s="103">
        <f t="shared" si="5"/>
        <v>13.584567409029972</v>
      </c>
      <c r="Q45" s="103">
        <f t="shared" si="5"/>
        <v>74.04265213344567</v>
      </c>
      <c r="R45" s="103">
        <f t="shared" si="5"/>
        <v>122.04049850443761</v>
      </c>
      <c r="S45" s="103">
        <f t="shared" si="5"/>
        <v>243.519055647493</v>
      </c>
      <c r="T45" s="103">
        <f t="shared" si="5"/>
        <v>277.7251951690853</v>
      </c>
      <c r="U45" s="102" t="s">
        <v>37</v>
      </c>
      <c r="V45" s="160" t="s">
        <v>37</v>
      </c>
      <c r="X45" s="108">
        <f>$E29</f>
        <v>40.832051206181276</v>
      </c>
      <c r="Y45" s="109">
        <f>$E30</f>
        <v>432.50384638145624</v>
      </c>
      <c r="Z45" s="105">
        <f>E$38</f>
        <v>35.832051206181276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73.73325117274811</v>
      </c>
      <c r="H46" s="103">
        <f t="shared" si="6"/>
        <v>211.08030135514278</v>
      </c>
      <c r="I46" s="103">
        <f t="shared" si="6"/>
        <v>114.44905435856268</v>
      </c>
      <c r="J46" s="103">
        <f t="shared" si="6"/>
        <v>0</v>
      </c>
      <c r="K46" s="103">
        <f t="shared" si="6"/>
        <v>71.25681437272664</v>
      </c>
      <c r="L46" s="103">
        <f t="shared" si="6"/>
        <v>134.1784394030517</v>
      </c>
      <c r="M46" s="103">
        <f t="shared" si="6"/>
        <v>179.30535680799775</v>
      </c>
      <c r="N46" s="103">
        <f t="shared" si="6"/>
        <v>229.75276381186083</v>
      </c>
      <c r="O46" s="103">
        <f t="shared" si="6"/>
        <v>105.45805131920969</v>
      </c>
      <c r="P46" s="103">
        <f t="shared" si="6"/>
        <v>0</v>
      </c>
      <c r="Q46" s="103">
        <f t="shared" si="6"/>
        <v>0</v>
      </c>
      <c r="R46" s="103">
        <f t="shared" si="6"/>
        <v>74.35591990664506</v>
      </c>
      <c r="S46" s="103">
        <f t="shared" si="6"/>
        <v>170.39225676467575</v>
      </c>
      <c r="T46" s="103">
        <f t="shared" si="6"/>
        <v>205.0377070854835</v>
      </c>
      <c r="U46" s="102" t="s">
        <v>37</v>
      </c>
      <c r="V46" s="160" t="s">
        <v>37</v>
      </c>
      <c r="X46" s="108">
        <f>$F29</f>
        <v>108.43225383848998</v>
      </c>
      <c r="Y46" s="109">
        <f>$F30</f>
        <v>396.34313285470154</v>
      </c>
      <c r="Z46" s="105">
        <f>F$38</f>
        <v>35.832051206181276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61.326547004504846</v>
      </c>
      <c r="I47" s="103">
        <f t="shared" si="7"/>
        <v>57.95143425216983</v>
      </c>
      <c r="J47" s="103">
        <f t="shared" si="7"/>
        <v>0</v>
      </c>
      <c r="K47" s="103">
        <f t="shared" si="7"/>
        <v>70.06174838749442</v>
      </c>
      <c r="L47" s="103">
        <f t="shared" si="7"/>
        <v>0</v>
      </c>
      <c r="M47" s="103">
        <f t="shared" si="7"/>
        <v>154.473902021744</v>
      </c>
      <c r="N47" s="103">
        <f t="shared" si="7"/>
        <v>77.1820687270984</v>
      </c>
      <c r="O47" s="103">
        <f t="shared" si="7"/>
        <v>0</v>
      </c>
      <c r="P47" s="103">
        <f t="shared" si="7"/>
        <v>120.30426709919087</v>
      </c>
      <c r="Q47" s="103">
        <f t="shared" si="7"/>
        <v>0</v>
      </c>
      <c r="R47" s="103">
        <f t="shared" si="7"/>
        <v>108.94241386875947</v>
      </c>
      <c r="S47" s="103">
        <f t="shared" si="7"/>
        <v>3.192406215646315E-05</v>
      </c>
      <c r="T47" s="103">
        <f t="shared" si="7"/>
        <v>101.88962953348613</v>
      </c>
      <c r="U47" s="102" t="s">
        <v>37</v>
      </c>
      <c r="V47" s="160" t="s">
        <v>37</v>
      </c>
      <c r="X47" s="108">
        <f>$G29</f>
        <v>215.28761773839443</v>
      </c>
      <c r="Y47" s="109">
        <f>$G30</f>
        <v>276.72188790663216</v>
      </c>
      <c r="Z47" s="105">
        <f>G$38</f>
        <v>45.832051206181276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199.06032002374357</v>
      </c>
      <c r="J48" s="103">
        <f t="shared" si="8"/>
        <v>116.32540495433207</v>
      </c>
      <c r="K48" s="103">
        <f t="shared" si="8"/>
        <v>113.9289662987305</v>
      </c>
      <c r="L48" s="103">
        <f t="shared" si="8"/>
        <v>109.12944698650665</v>
      </c>
      <c r="M48" s="103">
        <f t="shared" si="8"/>
        <v>292.9399448028256</v>
      </c>
      <c r="N48" s="103">
        <f t="shared" si="8"/>
        <v>110.81961063341467</v>
      </c>
      <c r="O48" s="103">
        <f t="shared" si="8"/>
        <v>3.192406212804144E-05</v>
      </c>
      <c r="P48" s="103">
        <f t="shared" si="8"/>
        <v>272.45035674709425</v>
      </c>
      <c r="Q48" s="103">
        <f t="shared" si="8"/>
        <v>157.67385411879107</v>
      </c>
      <c r="R48" s="103">
        <f t="shared" si="8"/>
        <v>265.5164106532012</v>
      </c>
      <c r="S48" s="103">
        <f t="shared" si="8"/>
        <v>0</v>
      </c>
      <c r="T48" s="103">
        <f t="shared" si="8"/>
        <v>199.35301255482906</v>
      </c>
      <c r="U48" s="102" t="s">
        <v>37</v>
      </c>
      <c r="V48" s="160" t="s">
        <v>37</v>
      </c>
      <c r="X48" s="108">
        <f>$H29</f>
        <v>216.06321168043726</v>
      </c>
      <c r="Y48" s="109">
        <f>$H30</f>
        <v>118.73314224036463</v>
      </c>
      <c r="Z48" s="105">
        <f>H$38</f>
        <v>45.832051206181276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107.76743854335223</v>
      </c>
      <c r="K49" s="103">
        <f t="shared" si="9"/>
        <v>202.36944155717467</v>
      </c>
      <c r="L49" s="103">
        <f t="shared" si="9"/>
        <v>0</v>
      </c>
      <c r="M49" s="103">
        <f t="shared" si="9"/>
        <v>0</v>
      </c>
      <c r="N49" s="103">
        <f t="shared" si="9"/>
        <v>73.27693896868425</v>
      </c>
      <c r="O49" s="103">
        <f t="shared" si="9"/>
        <v>154.4307985871222</v>
      </c>
      <c r="P49" s="103">
        <f t="shared" si="9"/>
        <v>89.2788210469808</v>
      </c>
      <c r="Q49" s="103">
        <f t="shared" si="9"/>
        <v>0</v>
      </c>
      <c r="R49" s="103">
        <f t="shared" si="9"/>
        <v>0</v>
      </c>
      <c r="S49" s="103">
        <f t="shared" si="9"/>
        <v>95.77545367613877</v>
      </c>
      <c r="T49" s="103">
        <f t="shared" si="9"/>
        <v>3.293061381270945E-05</v>
      </c>
      <c r="U49" s="102" t="s">
        <v>37</v>
      </c>
      <c r="V49" s="160" t="s">
        <v>37</v>
      </c>
      <c r="X49" s="108">
        <f>$I29</f>
        <v>309.5236644736146</v>
      </c>
      <c r="Y49" s="109">
        <f>$I30</f>
        <v>399.30056335133895</v>
      </c>
      <c r="Z49" s="105">
        <f>I$38</f>
        <v>45.832051206181276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0</v>
      </c>
      <c r="L50" s="103">
        <f t="shared" si="10"/>
        <v>86.93871735527884</v>
      </c>
      <c r="M50" s="103">
        <f t="shared" si="10"/>
        <v>194.3945364257257</v>
      </c>
      <c r="N50" s="103">
        <f t="shared" si="10"/>
        <v>172.91082546279026</v>
      </c>
      <c r="O50" s="103">
        <f t="shared" si="10"/>
        <v>8.81237287343518</v>
      </c>
      <c r="P50" s="103">
        <f t="shared" si="10"/>
        <v>71.52743176789272</v>
      </c>
      <c r="Q50" s="103">
        <f t="shared" si="10"/>
        <v>0</v>
      </c>
      <c r="R50" s="103">
        <f t="shared" si="10"/>
        <v>111.93969779907417</v>
      </c>
      <c r="S50" s="103">
        <f t="shared" si="10"/>
        <v>91.24265743447506</v>
      </c>
      <c r="T50" s="103">
        <f t="shared" si="10"/>
        <v>179.66975435116652</v>
      </c>
      <c r="U50" s="102" t="s">
        <v>37</v>
      </c>
      <c r="V50" s="160" t="s">
        <v>37</v>
      </c>
      <c r="X50" s="108">
        <f>$J29</f>
        <v>125.01190707134054</v>
      </c>
      <c r="Y50" s="109">
        <f>$J30</f>
        <v>311.2797344649188</v>
      </c>
      <c r="Z50" s="105">
        <f>J$38</f>
        <v>45.832051206181276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166.38048406683166</v>
      </c>
      <c r="M51" s="103">
        <f t="shared" si="11"/>
        <v>290.8866342570037</v>
      </c>
      <c r="N51" s="103">
        <f t="shared" si="11"/>
        <v>238.29185221013293</v>
      </c>
      <c r="O51" s="103">
        <f t="shared" si="11"/>
        <v>0</v>
      </c>
      <c r="P51" s="103">
        <f t="shared" si="11"/>
        <v>147.67503720041208</v>
      </c>
      <c r="Q51" s="103">
        <f t="shared" si="11"/>
        <v>96.62571233451317</v>
      </c>
      <c r="R51" s="103">
        <f t="shared" si="11"/>
        <v>206.43659888916696</v>
      </c>
      <c r="S51" s="103">
        <f t="shared" si="11"/>
        <v>135.3341251940947</v>
      </c>
      <c r="T51" s="103">
        <f t="shared" si="11"/>
        <v>266.1261793295638</v>
      </c>
      <c r="U51" s="102" t="s">
        <v>37</v>
      </c>
      <c r="V51" s="160" t="s">
        <v>37</v>
      </c>
      <c r="X51" s="108">
        <f>$K29</f>
        <v>50.832051206181276</v>
      </c>
      <c r="Y51" s="109">
        <f>$K30</f>
        <v>249.3015312075485</v>
      </c>
      <c r="Z51" s="105">
        <f>K$38</f>
        <v>45.832051206181276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88.2842027884233</v>
      </c>
      <c r="N52" s="103">
        <f t="shared" si="12"/>
        <v>3.580855384655024E-05</v>
      </c>
      <c r="O52" s="103">
        <f t="shared" si="12"/>
        <v>88.55660704650808</v>
      </c>
      <c r="P52" s="103">
        <f t="shared" si="12"/>
        <v>147.74309009668468</v>
      </c>
      <c r="Q52" s="103">
        <f t="shared" si="12"/>
        <v>24.85542239047473</v>
      </c>
      <c r="R52" s="103">
        <f t="shared" si="12"/>
        <v>88.18488358534813</v>
      </c>
      <c r="S52" s="103">
        <f t="shared" si="12"/>
        <v>2.4296979432847365E-06</v>
      </c>
      <c r="T52" s="103">
        <f t="shared" si="12"/>
        <v>6.637613952326589</v>
      </c>
      <c r="U52" s="102" t="s">
        <v>37</v>
      </c>
      <c r="V52" s="160" t="s">
        <v>37</v>
      </c>
      <c r="X52" s="108">
        <f>$L29</f>
        <v>308.4114703667996</v>
      </c>
      <c r="Y52" s="109">
        <f>$L30</f>
        <v>302.64285947080765</v>
      </c>
      <c r="Z52" s="105">
        <f>L$38</f>
        <v>45.832051206181276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131.4965130445259</v>
      </c>
      <c r="O53" s="103">
        <f t="shared" si="13"/>
        <v>250.72968378781715</v>
      </c>
      <c r="P53" s="103">
        <f t="shared" si="13"/>
        <v>116.6613072941644</v>
      </c>
      <c r="Q53" s="103">
        <f t="shared" si="13"/>
        <v>78.6814285750981</v>
      </c>
      <c r="R53" s="103">
        <f t="shared" si="13"/>
        <v>0</v>
      </c>
      <c r="S53" s="103">
        <f t="shared" si="13"/>
        <v>184.48649241702302</v>
      </c>
      <c r="T53" s="103">
        <f t="shared" si="13"/>
        <v>19.635897978182243</v>
      </c>
      <c r="U53" s="102" t="s">
        <v>37</v>
      </c>
      <c r="V53" s="160" t="s">
        <v>37</v>
      </c>
      <c r="X53" s="108">
        <f>$M29</f>
        <v>368.72711792260594</v>
      </c>
      <c r="Y53" s="109">
        <f>$M30</f>
        <v>488.02588016197694</v>
      </c>
      <c r="Z53" s="105">
        <f>M$38</f>
        <v>55.832051206181276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138.83832582136438</v>
      </c>
      <c r="P54" s="103">
        <f t="shared" si="14"/>
        <v>242.74209599783765</v>
      </c>
      <c r="Q54" s="103">
        <f t="shared" si="14"/>
        <v>121.4648992093833</v>
      </c>
      <c r="R54" s="103">
        <f t="shared" si="14"/>
        <v>169.77957399206971</v>
      </c>
      <c r="S54" s="103">
        <f t="shared" si="14"/>
        <v>-2.349414899072144E-06</v>
      </c>
      <c r="T54" s="103">
        <f t="shared" si="14"/>
        <v>-2.3676875429146094E-06</v>
      </c>
      <c r="U54" s="102" t="s">
        <v>37</v>
      </c>
      <c r="V54" s="160" t="s">
        <v>37</v>
      </c>
      <c r="X54" s="108">
        <f>$N29</f>
        <v>395.6960035970813</v>
      </c>
      <c r="Y54" s="109">
        <f>$N30</f>
        <v>241.33504071020738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175.25483890318165</v>
      </c>
      <c r="Q55" s="103">
        <f>SQRT(POWER($X55-Q$29,2)+POWER($Y55-Q$30,2))-(Q$38+$Z55+$I$14)</f>
        <v>78.27119155987867</v>
      </c>
      <c r="R55" s="103">
        <f>SQRT(POWER($X55-R$29,2)+POWER($Y55-R$30,2))-(R$38+$Z55+$I$14)</f>
        <v>194.49625708267254</v>
      </c>
      <c r="S55" s="103">
        <f>SQRT(POWER($X55-S$29,2)+POWER($Y55-S$30,2))-(S$38+$Z55+$I$14)</f>
        <v>26.681254300661607</v>
      </c>
      <c r="T55" s="103">
        <f>SQRT(POWER($X55-T$29,2)+POWER($Y55-T$30,2))-(T$38+$Z55+$I$14)</f>
        <v>191.70588312097155</v>
      </c>
      <c r="U55" s="102" t="s">
        <v>37</v>
      </c>
      <c r="V55" s="160" t="s">
        <v>37</v>
      </c>
      <c r="X55" s="108">
        <f>$O29</f>
        <v>144.0035998862151</v>
      </c>
      <c r="Y55" s="109">
        <f>$O30</f>
        <v>197.37568735307605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9.979827184719227</v>
      </c>
      <c r="R56" s="103">
        <f>SQRT(POWER($X56-R$29,2)+POWER($Y56-R$30,2))-(R$38+$Z56+$I$14)</f>
        <v>0</v>
      </c>
      <c r="S56" s="103">
        <f>SQRT(POWER($X56-S$29,2)+POWER($Y56-S$30,2))-(S$38+$Z56+$I$14)</f>
        <v>211.69419061177084</v>
      </c>
      <c r="T56" s="103">
        <f>SQRT(POWER($X56-T$29,2)+POWER($Y56-T$30,2))-(T$38+$Z56+$I$14)</f>
        <v>185.76070243218223</v>
      </c>
      <c r="U56" s="102" t="s">
        <v>37</v>
      </c>
      <c r="V56" s="160" t="s">
        <v>37</v>
      </c>
      <c r="X56" s="108">
        <f>$P29</f>
        <v>135.40450330079346</v>
      </c>
      <c r="Y56" s="109">
        <f>$P30</f>
        <v>489.16794879381877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0</v>
      </c>
      <c r="S57" s="103">
        <f>SQRT(POWER($X57-S$29,2)+POWER($Y57-S$30,2))-(S$38+$Z57+$I$14)</f>
        <v>85.93264031680181</v>
      </c>
      <c r="T57" s="103">
        <f>SQRT(POWER($X57-T$29,2)+POWER($Y57-T$30,2))-(T$38+$Z57+$I$14)</f>
        <v>88.38231875050016</v>
      </c>
      <c r="U57" s="102" t="s">
        <v>37</v>
      </c>
      <c r="V57" s="160" t="s">
        <v>37</v>
      </c>
      <c r="X57" s="108">
        <f>$Q29</f>
        <v>204.14323514780168</v>
      </c>
      <c r="Y57" s="109">
        <f>$Q30</f>
        <v>382.80220408314744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176.55451541665403</v>
      </c>
      <c r="T58" s="103">
        <f>SQRT(POWER($X58-T$29,2)+POWER($Y58-T$30,2))-(T$38+$Z58+$I$14)</f>
        <v>87.1945355656735</v>
      </c>
      <c r="U58" s="102" t="s">
        <v>37</v>
      </c>
      <c r="V58" s="160" t="s">
        <v>37</v>
      </c>
      <c r="X58" s="108">
        <f>$R29</f>
        <v>252.06860571315602</v>
      </c>
      <c r="Y58" s="109">
        <f>$R30</f>
        <v>489.1679487938187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82.94178121225895</v>
      </c>
      <c r="U59" s="102" t="s">
        <v>37</v>
      </c>
      <c r="V59" s="160" t="s">
        <v>37</v>
      </c>
      <c r="X59" s="108">
        <f>$S29</f>
        <v>287.3472295326166</v>
      </c>
      <c r="Y59" s="109">
        <f>$S30</f>
        <v>198.07934279392072</v>
      </c>
      <c r="Z59" s="105">
        <f>S$38</f>
        <v>55.832051206181276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407.60876230323095</v>
      </c>
      <c r="Y60" s="109">
        <f>$T30</f>
        <v>357.38933153671235</v>
      </c>
      <c r="Z60" s="105">
        <f>T$38</f>
        <v>55.832051206181276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-465.8518928046242</v>
      </c>
      <c r="D67" s="116">
        <f t="shared" si="15"/>
        <v>-468.3358975876374</v>
      </c>
      <c r="E67" s="116">
        <f t="shared" si="15"/>
        <v>-468.3358975876374</v>
      </c>
      <c r="F67" s="116">
        <f t="shared" si="15"/>
        <v>-400.73569495532877</v>
      </c>
      <c r="G67" s="116">
        <f t="shared" si="15"/>
        <v>-283.8803310554243</v>
      </c>
      <c r="H67" s="116">
        <f t="shared" si="15"/>
        <v>-283.1047371133815</v>
      </c>
      <c r="I67" s="116">
        <f t="shared" si="15"/>
        <v>-189.64428432020412</v>
      </c>
      <c r="J67" s="116">
        <f t="shared" si="15"/>
        <v>-374.15604172247816</v>
      </c>
      <c r="K67" s="116">
        <f t="shared" si="15"/>
        <v>-448.3358975876374</v>
      </c>
      <c r="L67" s="116">
        <f t="shared" si="15"/>
        <v>-190.7564784270191</v>
      </c>
      <c r="M67" s="116">
        <f t="shared" si="15"/>
        <v>-120.44083087121277</v>
      </c>
      <c r="N67" s="116">
        <f t="shared" si="15"/>
        <v>-93.47194519673741</v>
      </c>
      <c r="O67" s="116">
        <f t="shared" si="15"/>
        <v>-345.1643489076036</v>
      </c>
      <c r="P67" s="116">
        <f t="shared" si="15"/>
        <v>-353.76344549302524</v>
      </c>
      <c r="Q67" s="116">
        <f t="shared" si="15"/>
        <v>-285.02471364601706</v>
      </c>
      <c r="R67" s="116">
        <f t="shared" si="15"/>
        <v>-237.09934308066272</v>
      </c>
      <c r="S67" s="116">
        <f t="shared" si="15"/>
        <v>-201.8207192612021</v>
      </c>
      <c r="T67" s="116">
        <f t="shared" si="15"/>
        <v>-81.55918649058776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2.4840047830132477</v>
      </c>
      <c r="D71" s="116">
        <f t="shared" si="16"/>
        <v>0</v>
      </c>
      <c r="E71" s="116">
        <f t="shared" si="16"/>
        <v>0</v>
      </c>
      <c r="F71" s="116">
        <f t="shared" si="16"/>
        <v>67.60020263230871</v>
      </c>
      <c r="G71" s="116">
        <f t="shared" si="16"/>
        <v>164.45556653221314</v>
      </c>
      <c r="H71" s="116">
        <f t="shared" si="16"/>
        <v>165.231160474256</v>
      </c>
      <c r="I71" s="116">
        <f t="shared" si="16"/>
        <v>258.6916132674333</v>
      </c>
      <c r="J71" s="116">
        <f t="shared" si="16"/>
        <v>74.17985586515927</v>
      </c>
      <c r="K71" s="116">
        <f t="shared" si="16"/>
        <v>0</v>
      </c>
      <c r="L71" s="116">
        <f t="shared" si="16"/>
        <v>257.57941916061833</v>
      </c>
      <c r="M71" s="116">
        <f t="shared" si="16"/>
        <v>307.89506671642465</v>
      </c>
      <c r="N71" s="116">
        <f t="shared" si="16"/>
        <v>334.8639523909</v>
      </c>
      <c r="O71" s="116">
        <f t="shared" si="16"/>
        <v>83.17154868003384</v>
      </c>
      <c r="P71" s="116">
        <f t="shared" si="16"/>
        <v>74.57245209461219</v>
      </c>
      <c r="Q71" s="116">
        <f t="shared" si="16"/>
        <v>143.3111839416204</v>
      </c>
      <c r="R71" s="116">
        <f t="shared" si="16"/>
        <v>191.23655450697476</v>
      </c>
      <c r="S71" s="116">
        <f t="shared" si="16"/>
        <v>226.51517832643532</v>
      </c>
      <c r="T71" s="116">
        <f t="shared" si="16"/>
        <v>346.77671109704966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-153.28795195629482</v>
      </c>
      <c r="D75" s="122">
        <f t="shared" si="17"/>
        <v>0</v>
      </c>
      <c r="E75" s="122">
        <f t="shared" si="17"/>
        <v>-76.66410241236247</v>
      </c>
      <c r="F75" s="122">
        <f t="shared" si="17"/>
        <v>-112.82481593911717</v>
      </c>
      <c r="G75" s="122">
        <f t="shared" si="17"/>
        <v>-222.44606088718655</v>
      </c>
      <c r="H75" s="122">
        <f t="shared" si="17"/>
        <v>-380.4348065534541</v>
      </c>
      <c r="I75" s="122">
        <f t="shared" si="17"/>
        <v>-99.86738544247976</v>
      </c>
      <c r="J75" s="122">
        <f t="shared" si="17"/>
        <v>-187.8882143288999</v>
      </c>
      <c r="K75" s="122">
        <f t="shared" si="17"/>
        <v>-249.86641758627025</v>
      </c>
      <c r="L75" s="122">
        <f t="shared" si="17"/>
        <v>-196.52508932301106</v>
      </c>
      <c r="M75" s="122">
        <f t="shared" si="17"/>
        <v>-1.1420686318417665</v>
      </c>
      <c r="N75" s="122">
        <f t="shared" si="17"/>
        <v>-247.83290808361136</v>
      </c>
      <c r="O75" s="122">
        <f t="shared" si="17"/>
        <v>-291.79226144074266</v>
      </c>
      <c r="P75" s="122">
        <f t="shared" si="17"/>
        <v>0</v>
      </c>
      <c r="Q75" s="122">
        <f t="shared" si="17"/>
        <v>-106.36574471067127</v>
      </c>
      <c r="R75" s="122">
        <f t="shared" si="17"/>
        <v>0</v>
      </c>
      <c r="S75" s="122">
        <f t="shared" si="17"/>
        <v>-291.088605999898</v>
      </c>
      <c r="T75" s="122">
        <f t="shared" si="17"/>
        <v>-131.77861725710636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315.0479456313426</v>
      </c>
      <c r="D79" s="128">
        <f aca="true" t="shared" si="18" ref="D79:T79">D30-D38-J9</f>
        <v>473.3358975876375</v>
      </c>
      <c r="E79" s="128">
        <f t="shared" si="18"/>
        <v>396.67179517527495</v>
      </c>
      <c r="F79" s="128">
        <f t="shared" si="18"/>
        <v>360.51108164852025</v>
      </c>
      <c r="G79" s="128">
        <f t="shared" si="18"/>
        <v>230.88983670045087</v>
      </c>
      <c r="H79" s="128">
        <f t="shared" si="18"/>
        <v>72.90109103418335</v>
      </c>
      <c r="I79" s="128">
        <f t="shared" si="18"/>
        <v>353.46851214515766</v>
      </c>
      <c r="J79" s="128">
        <f t="shared" si="18"/>
        <v>265.4476832587375</v>
      </c>
      <c r="K79" s="128">
        <f t="shared" si="18"/>
        <v>203.46948000136723</v>
      </c>
      <c r="L79" s="128">
        <f t="shared" si="18"/>
        <v>256.81080826462636</v>
      </c>
      <c r="M79" s="128">
        <f t="shared" si="18"/>
        <v>432.19382895579565</v>
      </c>
      <c r="N79" s="128">
        <f t="shared" si="18"/>
        <v>185.50298950402612</v>
      </c>
      <c r="O79" s="128">
        <f t="shared" si="18"/>
        <v>141.54363614689476</v>
      </c>
      <c r="P79" s="128">
        <f t="shared" si="18"/>
        <v>433.3358975876375</v>
      </c>
      <c r="Q79" s="128">
        <f t="shared" si="18"/>
        <v>326.97015287696615</v>
      </c>
      <c r="R79" s="128">
        <f t="shared" si="18"/>
        <v>433.3358975876374</v>
      </c>
      <c r="S79" s="128">
        <f t="shared" si="18"/>
        <v>142.24729158773943</v>
      </c>
      <c r="T79" s="128">
        <f t="shared" si="18"/>
        <v>301.55728033053106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56.712242383547846</v>
      </c>
      <c r="D98" s="34">
        <f t="shared" si="22"/>
        <v>33.36321675838661</v>
      </c>
      <c r="E98" s="34">
        <f t="shared" si="22"/>
        <v>45.3984321029194</v>
      </c>
      <c r="F98" s="34">
        <f t="shared" si="22"/>
        <v>62.68774506170962</v>
      </c>
      <c r="G98" s="34">
        <f t="shared" si="22"/>
        <v>99.49812567364738</v>
      </c>
      <c r="H98" s="34">
        <f t="shared" si="22"/>
        <v>117.98198806806711</v>
      </c>
      <c r="I98" s="34">
        <f t="shared" si="22"/>
        <v>92.13153269796162</v>
      </c>
      <c r="J98" s="34">
        <f t="shared" si="22"/>
        <v>78.09146870226787</v>
      </c>
      <c r="K98" s="34">
        <f t="shared" si="22"/>
        <v>70.87859141396814</v>
      </c>
      <c r="L98" s="34">
        <f t="shared" si="22"/>
        <v>110.38530536245135</v>
      </c>
      <c r="M98" s="34">
        <f t="shared" si="22"/>
        <v>79.52337487784726</v>
      </c>
      <c r="N98" s="34">
        <f t="shared" si="22"/>
        <v>133.7111836982154</v>
      </c>
      <c r="O98" s="34">
        <f t="shared" si="22"/>
        <v>95.53122385745878</v>
      </c>
      <c r="P98" s="34">
        <f t="shared" si="22"/>
        <v>51.60884535763296</v>
      </c>
      <c r="Q98" s="34">
        <f t="shared" si="22"/>
        <v>80.61172789344526</v>
      </c>
      <c r="R98" s="34">
        <f t="shared" si="22"/>
        <v>67.45486912587904</v>
      </c>
      <c r="S98" s="34">
        <f t="shared" si="22"/>
        <v>123.87060074644356</v>
      </c>
      <c r="T98" s="34">
        <f t="shared" si="22"/>
        <v>110.9714715297194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377.26019929657673</v>
      </c>
      <c r="D99" s="34">
        <f t="shared" si="23"/>
        <v>464.3647553109691</v>
      </c>
      <c r="E99" s="34">
        <f t="shared" si="23"/>
        <v>423.2381850609553</v>
      </c>
      <c r="F99" s="34">
        <f t="shared" si="23"/>
        <v>383.94370069489275</v>
      </c>
      <c r="G99" s="34">
        <f t="shared" si="23"/>
        <v>285.3111442219801</v>
      </c>
      <c r="H99" s="34">
        <f t="shared" si="23"/>
        <v>202.32808288198987</v>
      </c>
      <c r="I99" s="34">
        <f t="shared" si="23"/>
        <v>287.552995524302</v>
      </c>
      <c r="J99" s="34">
        <f t="shared" si="23"/>
        <v>333.7055542948691</v>
      </c>
      <c r="K99" s="34">
        <f t="shared" si="23"/>
        <v>311.8028170684716</v>
      </c>
      <c r="L99" s="34">
        <f t="shared" si="23"/>
        <v>256.0237954237194</v>
      </c>
      <c r="M99" s="34">
        <f t="shared" si="23"/>
        <v>269.2626609886745</v>
      </c>
      <c r="N99" s="34">
        <f t="shared" si="23"/>
        <v>190.30514043275116</v>
      </c>
      <c r="O99" s="34">
        <f t="shared" si="23"/>
        <v>264.94541099468074</v>
      </c>
      <c r="P99" s="34">
        <f t="shared" si="23"/>
        <v>408.3949810115222</v>
      </c>
      <c r="Q99" s="34">
        <f t="shared" si="23"/>
        <v>337.160265316365</v>
      </c>
      <c r="R99" s="34">
        <f t="shared" si="23"/>
        <v>339.97989098781125</v>
      </c>
      <c r="S99" s="34">
        <f t="shared" si="23"/>
        <v>219.62722610087303</v>
      </c>
      <c r="T99" s="34">
        <f t="shared" si="23"/>
        <v>221.79036017645552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7323.704555549714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75">
      <selection activeCell="F4" sqref="F4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350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350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0.4242640687119285</v>
      </c>
      <c r="J24" s="58" t="s">
        <v>67</v>
      </c>
    </row>
    <row r="25" spans="8:10" ht="13.5" thickBot="1">
      <c r="H25" s="49" t="s">
        <v>68</v>
      </c>
      <c r="I25" s="52">
        <f>(I22-J22)/I11</f>
        <v>0.4242640687119285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262.5233777930331</v>
      </c>
      <c r="D29" s="96">
        <v>268.79092663498005</v>
      </c>
      <c r="E29" s="96">
        <v>194.28599886332975</v>
      </c>
      <c r="F29" s="96">
        <v>331.82796771192756</v>
      </c>
      <c r="G29" s="96">
        <v>75.73988412469956</v>
      </c>
      <c r="H29" s="96">
        <v>144.17268723293688</v>
      </c>
      <c r="I29" s="96">
        <v>366.4131481080269</v>
      </c>
      <c r="J29" s="96">
        <v>391.81929214944927</v>
      </c>
      <c r="K29" s="96">
        <v>50.832051206181276</v>
      </c>
      <c r="L29" s="96">
        <v>169.08052015145518</v>
      </c>
      <c r="M29" s="96">
        <v>428.2021934153297</v>
      </c>
      <c r="N29" s="96">
        <v>470.8586968415594</v>
      </c>
      <c r="O29" s="96">
        <v>489.1679487938187</v>
      </c>
      <c r="P29" s="96">
        <v>350.8131652638204</v>
      </c>
      <c r="Q29" s="96">
        <v>258.6818523573278</v>
      </c>
      <c r="R29" s="96">
        <v>272.2653733149286</v>
      </c>
      <c r="S29" s="96">
        <v>172.77245339600748</v>
      </c>
      <c r="T29" s="96">
        <v>97.69144008202194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239.38020044956596</v>
      </c>
      <c r="D30" s="99">
        <v>315.7876767300093</v>
      </c>
      <c r="E30" s="99">
        <v>297.7211237278526</v>
      </c>
      <c r="F30" s="99">
        <v>272.15608207320236</v>
      </c>
      <c r="G30" s="99">
        <v>405.768010161499</v>
      </c>
      <c r="H30" s="99">
        <v>474.0387955383142</v>
      </c>
      <c r="I30" s="99">
        <v>192.6920528168149</v>
      </c>
      <c r="J30" s="99">
        <v>99.42642923389118</v>
      </c>
      <c r="K30" s="99">
        <v>499.16794879381877</v>
      </c>
      <c r="L30" s="99">
        <v>380.6388569059945</v>
      </c>
      <c r="M30" s="99">
        <v>279.6365444542866</v>
      </c>
      <c r="N30" s="99">
        <v>171.05047025366966</v>
      </c>
      <c r="O30" s="99">
        <v>55.832051206181276</v>
      </c>
      <c r="P30" s="99">
        <v>366.93746722492136</v>
      </c>
      <c r="Q30" s="99">
        <v>438.507951131435</v>
      </c>
      <c r="R30" s="99">
        <v>142.55796019609187</v>
      </c>
      <c r="S30" s="99">
        <v>203.48145029391006</v>
      </c>
      <c r="T30" s="99">
        <v>301.3871694262016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87">
        <f t="shared" si="0"/>
        <v>12</v>
      </c>
      <c r="T36" s="87">
        <f t="shared" si="0"/>
        <v>12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16.165807537309522</v>
      </c>
      <c r="D37" s="104">
        <f t="shared" si="1"/>
        <v>16.165807537309522</v>
      </c>
      <c r="E37" s="104">
        <f t="shared" si="1"/>
        <v>16.165807537309522</v>
      </c>
      <c r="F37" s="104">
        <f t="shared" si="1"/>
        <v>16.165807537309522</v>
      </c>
      <c r="G37" s="104">
        <f t="shared" si="1"/>
        <v>16.165807537309522</v>
      </c>
      <c r="H37" s="104">
        <f t="shared" si="1"/>
        <v>16.165807537309522</v>
      </c>
      <c r="I37" s="104">
        <f t="shared" si="1"/>
        <v>16.165807537309522</v>
      </c>
      <c r="J37" s="104">
        <f t="shared" si="1"/>
        <v>16.165807537309522</v>
      </c>
      <c r="K37" s="104">
        <f t="shared" si="1"/>
        <v>16.165807537309522</v>
      </c>
      <c r="L37" s="104">
        <f t="shared" si="1"/>
        <v>16.165807537309522</v>
      </c>
      <c r="M37" s="104">
        <f t="shared" si="1"/>
        <v>16.165807537309522</v>
      </c>
      <c r="N37" s="104">
        <f t="shared" si="1"/>
        <v>16.165807537309522</v>
      </c>
      <c r="O37" s="104">
        <f t="shared" si="1"/>
        <v>16.165807537309522</v>
      </c>
      <c r="P37" s="104">
        <f t="shared" si="1"/>
        <v>16.165807537309522</v>
      </c>
      <c r="Q37" s="104">
        <f t="shared" si="1"/>
        <v>16.165807537309522</v>
      </c>
      <c r="R37" s="104">
        <f t="shared" si="1"/>
        <v>16.165807537309522</v>
      </c>
      <c r="S37" s="104">
        <f t="shared" si="1"/>
        <v>16.165807537309522</v>
      </c>
      <c r="T37" s="104">
        <f t="shared" si="1"/>
        <v>16.165807537309522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35.83205120618128</v>
      </c>
      <c r="D38" s="106">
        <f t="shared" si="2"/>
        <v>35.83205120618128</v>
      </c>
      <c r="E38" s="106">
        <f t="shared" si="2"/>
        <v>35.83205120618128</v>
      </c>
      <c r="F38" s="106">
        <f t="shared" si="2"/>
        <v>35.83205120618128</v>
      </c>
      <c r="G38" s="106">
        <f t="shared" si="2"/>
        <v>45.83205120618128</v>
      </c>
      <c r="H38" s="106">
        <f t="shared" si="2"/>
        <v>45.83205120618128</v>
      </c>
      <c r="I38" s="106">
        <f t="shared" si="2"/>
        <v>45.83205120618128</v>
      </c>
      <c r="J38" s="106">
        <f t="shared" si="2"/>
        <v>45.83205120618128</v>
      </c>
      <c r="K38" s="106">
        <f t="shared" si="2"/>
        <v>45.83205120618128</v>
      </c>
      <c r="L38" s="106">
        <f t="shared" si="2"/>
        <v>45.83205120618128</v>
      </c>
      <c r="M38" s="106">
        <f t="shared" si="2"/>
        <v>55.83205120618128</v>
      </c>
      <c r="N38" s="106">
        <f t="shared" si="2"/>
        <v>55.83205120618128</v>
      </c>
      <c r="O38" s="106">
        <f t="shared" si="2"/>
        <v>55.83205120618128</v>
      </c>
      <c r="P38" s="106">
        <f t="shared" si="2"/>
        <v>55.83205120618128</v>
      </c>
      <c r="Q38" s="106">
        <f t="shared" si="2"/>
        <v>55.83205120618128</v>
      </c>
      <c r="R38" s="106">
        <f t="shared" si="2"/>
        <v>55.83205120618128</v>
      </c>
      <c r="S38" s="106">
        <f t="shared" si="2"/>
        <v>55.83205120618128</v>
      </c>
      <c r="T38" s="106">
        <f t="shared" si="2"/>
        <v>55.83205120618128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8.736080303606286E-09</v>
      </c>
      <c r="E43" s="101">
        <f t="shared" si="3"/>
        <v>13.113418227042757</v>
      </c>
      <c r="F43" s="101">
        <f t="shared" si="3"/>
        <v>8.736407153264736E-09</v>
      </c>
      <c r="G43" s="101">
        <f t="shared" si="3"/>
        <v>163.48180846303597</v>
      </c>
      <c r="H43" s="101">
        <f t="shared" si="3"/>
        <v>176.15055129834047</v>
      </c>
      <c r="I43" s="101">
        <f t="shared" si="3"/>
        <v>27.234394089916734</v>
      </c>
      <c r="J43" s="101">
        <f t="shared" si="3"/>
        <v>103.87327330891462</v>
      </c>
      <c r="K43" s="101">
        <f t="shared" si="3"/>
        <v>248.45213405176037</v>
      </c>
      <c r="L43" s="101">
        <f t="shared" si="3"/>
        <v>82.70406362866031</v>
      </c>
      <c r="M43" s="101">
        <f t="shared" si="3"/>
        <v>73.835291072287</v>
      </c>
      <c r="N43" s="101">
        <f t="shared" si="3"/>
        <v>122.59044643827183</v>
      </c>
      <c r="O43" s="101">
        <f t="shared" si="3"/>
        <v>194.98240391816415</v>
      </c>
      <c r="P43" s="101">
        <f t="shared" si="3"/>
        <v>58.46791516890907</v>
      </c>
      <c r="Q43" s="101">
        <f t="shared" si="3"/>
        <v>102.5006997221857</v>
      </c>
      <c r="R43" s="101">
        <f t="shared" si="3"/>
        <v>0.6470104394083336</v>
      </c>
      <c r="S43" s="101">
        <f t="shared" si="3"/>
        <v>-1.2046385222674871E-08</v>
      </c>
      <c r="T43" s="101">
        <f t="shared" si="3"/>
        <v>79.44504525247659</v>
      </c>
      <c r="U43" s="158" t="s">
        <v>37</v>
      </c>
      <c r="V43" s="159" t="s">
        <v>37</v>
      </c>
      <c r="X43" s="108">
        <f>$C29</f>
        <v>262.5233777930331</v>
      </c>
      <c r="Y43" s="109">
        <f>$C30</f>
        <v>239.38020044956596</v>
      </c>
      <c r="Z43" s="105">
        <f>C$38</f>
        <v>35.83205120618128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6.165521426737541E-09</v>
      </c>
      <c r="F44" s="103">
        <f t="shared" si="4"/>
        <v>8.735881351640273E-09</v>
      </c>
      <c r="G44" s="103">
        <f t="shared" si="4"/>
        <v>126.32689603299</v>
      </c>
      <c r="H44" s="103">
        <f t="shared" si="4"/>
        <v>114.76360719022709</v>
      </c>
      <c r="I44" s="103">
        <f t="shared" si="4"/>
        <v>70.44296538508316</v>
      </c>
      <c r="J44" s="103">
        <f t="shared" si="4"/>
        <v>162.22978690442704</v>
      </c>
      <c r="K44" s="103">
        <f t="shared" si="4"/>
        <v>198.17689807805732</v>
      </c>
      <c r="L44" s="103">
        <f t="shared" si="4"/>
        <v>32.280593691868376</v>
      </c>
      <c r="M44" s="103">
        <f t="shared" si="4"/>
        <v>66.79493325508717</v>
      </c>
      <c r="N44" s="103">
        <f t="shared" si="4"/>
        <v>151.89221453579614</v>
      </c>
      <c r="O44" s="103">
        <f t="shared" si="4"/>
        <v>244.13343152396442</v>
      </c>
      <c r="P44" s="103">
        <f t="shared" si="4"/>
        <v>1.1235329111514147E-08</v>
      </c>
      <c r="Q44" s="103">
        <f t="shared" si="4"/>
        <v>26.471835200960967</v>
      </c>
      <c r="R44" s="103">
        <f t="shared" si="4"/>
        <v>76.60045388855316</v>
      </c>
      <c r="S44" s="103">
        <f t="shared" si="4"/>
        <v>51.093251717507044</v>
      </c>
      <c r="T44" s="103">
        <f t="shared" si="4"/>
        <v>75.04032067945217</v>
      </c>
      <c r="U44" s="102" t="s">
        <v>37</v>
      </c>
      <c r="V44" s="160" t="s">
        <v>37</v>
      </c>
      <c r="X44" s="108">
        <f>$D29</f>
        <v>268.79092663498005</v>
      </c>
      <c r="Y44" s="109">
        <f>$D30</f>
        <v>315.7876767300093</v>
      </c>
      <c r="Z44" s="105">
        <f>D$38</f>
        <v>35.83205120618128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63.23359074071503</v>
      </c>
      <c r="G45" s="103">
        <f t="shared" si="5"/>
        <v>73.73325101851468</v>
      </c>
      <c r="H45" s="103">
        <f t="shared" si="5"/>
        <v>96.63692157612068</v>
      </c>
      <c r="I45" s="103">
        <f t="shared" si="5"/>
        <v>114.97632320596934</v>
      </c>
      <c r="J45" s="103">
        <f t="shared" si="5"/>
        <v>193.2290697460765</v>
      </c>
      <c r="K45" s="103">
        <f t="shared" si="5"/>
        <v>160.6410904720123</v>
      </c>
      <c r="L45" s="103">
        <f t="shared" si="5"/>
        <v>-8.333424261763867E-08</v>
      </c>
      <c r="M45" s="103">
        <f t="shared" si="5"/>
        <v>137.9501300655308</v>
      </c>
      <c r="N45" s="103">
        <f t="shared" si="5"/>
        <v>207.53634419896895</v>
      </c>
      <c r="O45" s="103">
        <f t="shared" si="5"/>
        <v>284.7355407445258</v>
      </c>
      <c r="P45" s="103">
        <f t="shared" si="5"/>
        <v>74.48395053733095</v>
      </c>
      <c r="Q45" s="103">
        <f t="shared" si="5"/>
        <v>58.15113171395508</v>
      </c>
      <c r="R45" s="103">
        <f t="shared" si="5"/>
        <v>76.99185100428996</v>
      </c>
      <c r="S45" s="103">
        <f t="shared" si="5"/>
        <v>-3.970986028889456E-08</v>
      </c>
      <c r="T45" s="103">
        <f t="shared" si="5"/>
        <v>-9.294974745444051E-08</v>
      </c>
      <c r="U45" s="102" t="s">
        <v>37</v>
      </c>
      <c r="V45" s="160" t="s">
        <v>37</v>
      </c>
      <c r="X45" s="108">
        <f>$E29</f>
        <v>194.28599886332975</v>
      </c>
      <c r="Y45" s="109">
        <f>$E30</f>
        <v>297.7211237278526</v>
      </c>
      <c r="Z45" s="105">
        <f>E$38</f>
        <v>35.83205120618128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202.18404780302518</v>
      </c>
      <c r="H46" s="103">
        <f t="shared" si="6"/>
        <v>188.96451418556092</v>
      </c>
      <c r="I46" s="103">
        <f t="shared" si="6"/>
        <v>1.00980059869471E-08</v>
      </c>
      <c r="J46" s="103">
        <f t="shared" si="6"/>
        <v>96.18690791505385</v>
      </c>
      <c r="K46" s="103">
        <f t="shared" si="6"/>
        <v>274.5741745252887</v>
      </c>
      <c r="L46" s="103">
        <f t="shared" si="6"/>
        <v>108.92537614635488</v>
      </c>
      <c r="M46" s="103">
        <f t="shared" si="6"/>
        <v>1.1262699217695626E-08</v>
      </c>
      <c r="N46" s="103">
        <f t="shared" si="6"/>
        <v>75.24252452132804</v>
      </c>
      <c r="O46" s="103">
        <f t="shared" si="6"/>
        <v>170.82787125676595</v>
      </c>
      <c r="P46" s="103">
        <f t="shared" si="6"/>
        <v>1.1251216847085743E-08</v>
      </c>
      <c r="Q46" s="103">
        <f t="shared" si="6"/>
        <v>85.05903461381745</v>
      </c>
      <c r="R46" s="103">
        <f t="shared" si="6"/>
        <v>45.966104224856466</v>
      </c>
      <c r="S46" s="103">
        <f t="shared" si="6"/>
        <v>76.58387501976576</v>
      </c>
      <c r="T46" s="103">
        <f t="shared" si="6"/>
        <v>139.29006694776598</v>
      </c>
      <c r="U46" s="102" t="s">
        <v>37</v>
      </c>
      <c r="V46" s="160" t="s">
        <v>37</v>
      </c>
      <c r="X46" s="108">
        <f>$F29</f>
        <v>331.82796771192756</v>
      </c>
      <c r="Y46" s="109">
        <f>$F30</f>
        <v>272.15608207320236</v>
      </c>
      <c r="Z46" s="105">
        <f>F$38</f>
        <v>35.83205120618128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-9.294957692418393E-08</v>
      </c>
      <c r="I47" s="103">
        <f t="shared" si="7"/>
        <v>263.7416550237177</v>
      </c>
      <c r="J47" s="103">
        <f t="shared" si="7"/>
        <v>343.5078598734039</v>
      </c>
      <c r="K47" s="103">
        <f t="shared" si="7"/>
        <v>-9.294966218931222E-08</v>
      </c>
      <c r="L47" s="103">
        <f t="shared" si="7"/>
        <v>-9.294980429785937E-08</v>
      </c>
      <c r="M47" s="103">
        <f t="shared" si="7"/>
        <v>267.68710449357695</v>
      </c>
      <c r="N47" s="103">
        <f t="shared" si="7"/>
        <v>352.9130942621073</v>
      </c>
      <c r="O47" s="103">
        <f t="shared" si="7"/>
        <v>434.97963661360563</v>
      </c>
      <c r="P47" s="103">
        <f t="shared" si="7"/>
        <v>171.13640345721137</v>
      </c>
      <c r="Q47" s="103">
        <f t="shared" si="7"/>
        <v>79.18440437621199</v>
      </c>
      <c r="R47" s="103">
        <f t="shared" si="7"/>
        <v>221.81998898971875</v>
      </c>
      <c r="S47" s="103">
        <f t="shared" si="7"/>
        <v>117.69091046333584</v>
      </c>
      <c r="T47" s="103">
        <f t="shared" si="7"/>
        <v>-1.0256492544158391E-07</v>
      </c>
      <c r="U47" s="102" t="s">
        <v>37</v>
      </c>
      <c r="V47" s="160" t="s">
        <v>37</v>
      </c>
      <c r="X47" s="108">
        <f>$G29</f>
        <v>75.73988412469956</v>
      </c>
      <c r="Y47" s="109">
        <f>$G30</f>
        <v>405.768010161499</v>
      </c>
      <c r="Z47" s="105">
        <f>G$38</f>
        <v>45.83205120618128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261.87015270138517</v>
      </c>
      <c r="J48" s="103">
        <f t="shared" si="8"/>
        <v>352.40523066981797</v>
      </c>
      <c r="K48" s="103">
        <f t="shared" si="8"/>
        <v>-9.294979008700466E-08</v>
      </c>
      <c r="L48" s="103">
        <f t="shared" si="8"/>
        <v>-9.294971903273108E-08</v>
      </c>
      <c r="M48" s="103">
        <f t="shared" si="8"/>
        <v>237.52334013711692</v>
      </c>
      <c r="N48" s="103">
        <f t="shared" si="8"/>
        <v>338.8980976594103</v>
      </c>
      <c r="O48" s="103">
        <f t="shared" si="8"/>
        <v>435.47850936459713</v>
      </c>
      <c r="P48" s="103">
        <f t="shared" si="8"/>
        <v>126.08250161726708</v>
      </c>
      <c r="Q48" s="103">
        <f t="shared" si="8"/>
        <v>13.230809079955918</v>
      </c>
      <c r="R48" s="103">
        <f t="shared" si="8"/>
        <v>248.70511463784453</v>
      </c>
      <c r="S48" s="103">
        <f t="shared" si="8"/>
        <v>165.40063931335607</v>
      </c>
      <c r="T48" s="103">
        <f t="shared" si="8"/>
        <v>72.13491977696926</v>
      </c>
      <c r="U48" s="102" t="s">
        <v>37</v>
      </c>
      <c r="V48" s="160" t="s">
        <v>37</v>
      </c>
      <c r="X48" s="108">
        <f>$H29</f>
        <v>144.17268723293688</v>
      </c>
      <c r="Y48" s="109">
        <f>$H30</f>
        <v>474.0387955383142</v>
      </c>
      <c r="Z48" s="105">
        <f>H$38</f>
        <v>45.83205120618128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1.1262699217695626E-08</v>
      </c>
      <c r="K49" s="103">
        <f t="shared" si="9"/>
        <v>343.2437328630271</v>
      </c>
      <c r="L49" s="103">
        <f t="shared" si="9"/>
        <v>175.8504242161884</v>
      </c>
      <c r="M49" s="103">
        <f t="shared" si="9"/>
        <v>1.2428415629983647E-08</v>
      </c>
      <c r="N49" s="103">
        <f t="shared" si="9"/>
        <v>1.2427648243829026E-08</v>
      </c>
      <c r="O49" s="103">
        <f t="shared" si="9"/>
        <v>77.18203198341716</v>
      </c>
      <c r="P49" s="103">
        <f t="shared" si="9"/>
        <v>68.27824211003225</v>
      </c>
      <c r="Q49" s="103">
        <f t="shared" si="9"/>
        <v>161.7227228014475</v>
      </c>
      <c r="R49" s="103">
        <f t="shared" si="9"/>
        <v>-9.561645697431231E-09</v>
      </c>
      <c r="S49" s="103">
        <f t="shared" si="9"/>
        <v>87.27694467791243</v>
      </c>
      <c r="T49" s="103">
        <f t="shared" si="9"/>
        <v>183.20825697904547</v>
      </c>
      <c r="U49" s="102" t="s">
        <v>37</v>
      </c>
      <c r="V49" s="160" t="s">
        <v>37</v>
      </c>
      <c r="X49" s="108">
        <f>$I29</f>
        <v>366.4131481080269</v>
      </c>
      <c r="Y49" s="109">
        <f>$I30</f>
        <v>192.6920528168149</v>
      </c>
      <c r="Z49" s="105">
        <f>I$38</f>
        <v>45.83205120618128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428.7553309417742</v>
      </c>
      <c r="L50" s="103">
        <f t="shared" si="10"/>
        <v>262.0739496930871</v>
      </c>
      <c r="M50" s="103">
        <f t="shared" si="10"/>
        <v>77.18203198341685</v>
      </c>
      <c r="N50" s="103">
        <f t="shared" si="10"/>
        <v>1.2427321394170576E-08</v>
      </c>
      <c r="O50" s="103">
        <f t="shared" si="10"/>
        <v>1.242798930434219E-08</v>
      </c>
      <c r="P50" s="103">
        <f t="shared" si="10"/>
        <v>163.9715528313593</v>
      </c>
      <c r="Q50" s="103">
        <f t="shared" si="10"/>
        <v>257.6185575740211</v>
      </c>
      <c r="R50" s="103">
        <f t="shared" si="10"/>
        <v>20.43219364631271</v>
      </c>
      <c r="S50" s="103">
        <f t="shared" si="10"/>
        <v>135.84149541102232</v>
      </c>
      <c r="T50" s="103">
        <f t="shared" si="10"/>
        <v>250.1262196828763</v>
      </c>
      <c r="U50" s="102" t="s">
        <v>37</v>
      </c>
      <c r="V50" s="160" t="s">
        <v>37</v>
      </c>
      <c r="X50" s="108">
        <f>$J29</f>
        <v>391.81929214944927</v>
      </c>
      <c r="Y50" s="109">
        <f>$J30</f>
        <v>99.42642923389118</v>
      </c>
      <c r="Z50" s="105">
        <f>J$38</f>
        <v>45.83205120618128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70.76303407289687</v>
      </c>
      <c r="M51" s="103">
        <f t="shared" si="11"/>
        <v>329.91608692544975</v>
      </c>
      <c r="N51" s="103">
        <f t="shared" si="11"/>
        <v>426.3307031601239</v>
      </c>
      <c r="O51" s="103">
        <f t="shared" si="11"/>
        <v>516.7820277414751</v>
      </c>
      <c r="P51" s="103">
        <f t="shared" si="11"/>
        <v>221.16751449974186</v>
      </c>
      <c r="Q51" s="103">
        <f t="shared" si="11"/>
        <v>109.8565089736474</v>
      </c>
      <c r="R51" s="103">
        <f t="shared" si="11"/>
        <v>313.10178484836655</v>
      </c>
      <c r="S51" s="103">
        <f t="shared" si="11"/>
        <v>213.17955796150363</v>
      </c>
      <c r="T51" s="103">
        <f t="shared" si="11"/>
        <v>96.5919897794321</v>
      </c>
      <c r="U51" s="102" t="s">
        <v>37</v>
      </c>
      <c r="V51" s="160" t="s">
        <v>37</v>
      </c>
      <c r="X51" s="108">
        <f>$K29</f>
        <v>50.832051206181276</v>
      </c>
      <c r="Y51" s="109">
        <f>$K30</f>
        <v>499.16794879381877</v>
      </c>
      <c r="Z51" s="105">
        <f>K$38</f>
        <v>45.83205120618128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171.4465026994572</v>
      </c>
      <c r="N52" s="103">
        <f t="shared" si="12"/>
        <v>260.75576605684273</v>
      </c>
      <c r="O52" s="103">
        <f t="shared" si="12"/>
        <v>349.357194243612</v>
      </c>
      <c r="P52" s="103">
        <f t="shared" si="12"/>
        <v>75.58430602713382</v>
      </c>
      <c r="Q52" s="103">
        <f t="shared" si="12"/>
        <v>2.629989097613361E-07</v>
      </c>
      <c r="R52" s="103">
        <f t="shared" si="12"/>
        <v>152.8154291514178</v>
      </c>
      <c r="S52" s="103">
        <f t="shared" si="12"/>
        <v>70.53176968572454</v>
      </c>
      <c r="T52" s="103">
        <f t="shared" si="12"/>
        <v>-1.0256617599679885E-07</v>
      </c>
      <c r="U52" s="102" t="s">
        <v>37</v>
      </c>
      <c r="V52" s="160" t="s">
        <v>37</v>
      </c>
      <c r="X52" s="108">
        <f>$L29</f>
        <v>169.08052015145518</v>
      </c>
      <c r="Y52" s="109">
        <f>$L30</f>
        <v>380.6388569059945</v>
      </c>
      <c r="Z52" s="105">
        <f>L$38</f>
        <v>45.83205120618128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1.359290990876616E-08</v>
      </c>
      <c r="O53" s="103">
        <f t="shared" si="13"/>
        <v>115.29553745395334</v>
      </c>
      <c r="P53" s="103">
        <f t="shared" si="13"/>
        <v>1.3531220588447468E-08</v>
      </c>
      <c r="Q53" s="103">
        <f t="shared" si="13"/>
        <v>115.66598580695775</v>
      </c>
      <c r="R53" s="103">
        <f t="shared" si="13"/>
        <v>90.95774163410537</v>
      </c>
      <c r="S53" s="103">
        <f t="shared" si="13"/>
        <v>149.8766082734806</v>
      </c>
      <c r="T53" s="103">
        <f t="shared" si="13"/>
        <v>214.5615725520331</v>
      </c>
      <c r="U53" s="102" t="s">
        <v>37</v>
      </c>
      <c r="V53" s="160" t="s">
        <v>37</v>
      </c>
      <c r="X53" s="108">
        <f>$M29</f>
        <v>428.2021934153297</v>
      </c>
      <c r="Y53" s="109">
        <f>$M30</f>
        <v>279.6365444542866</v>
      </c>
      <c r="Z53" s="105">
        <f>M$38</f>
        <v>55.83205120618128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1.3593393077826477E-08</v>
      </c>
      <c r="P54" s="103">
        <f t="shared" si="14"/>
        <v>113.08063688365941</v>
      </c>
      <c r="Q54" s="103">
        <f t="shared" si="14"/>
        <v>224.73378482885335</v>
      </c>
      <c r="R54" s="103">
        <f t="shared" si="14"/>
        <v>83.96274344515028</v>
      </c>
      <c r="S54" s="103">
        <f t="shared" si="14"/>
        <v>183.1811526740758</v>
      </c>
      <c r="T54" s="103">
        <f t="shared" si="14"/>
        <v>278.6097984065881</v>
      </c>
      <c r="U54" s="102" t="s">
        <v>37</v>
      </c>
      <c r="V54" s="160" t="s">
        <v>37</v>
      </c>
      <c r="X54" s="108">
        <f>$N29</f>
        <v>470.8586968415594</v>
      </c>
      <c r="Y54" s="109">
        <f>$N30</f>
        <v>171.05047025366966</v>
      </c>
      <c r="Z54" s="105">
        <f>N$38</f>
        <v>55.83205120618128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223.8188281463161</v>
      </c>
      <c r="Q55" s="103">
        <f>SQRT(POWER($X55-Q$29,2)+POWER($Y55-Q$30,2))-(Q$38+$Z55+$I$14)</f>
        <v>330.06253103826816</v>
      </c>
      <c r="R55" s="103">
        <f>SQRT(POWER($X55-R$29,2)+POWER($Y55-R$30,2))-(R$38+$Z55+$I$14)</f>
        <v>116.93407938600224</v>
      </c>
      <c r="S55" s="103">
        <f>SQRT(POWER($X55-S$29,2)+POWER($Y55-S$30,2))-(S$38+$Z55+$I$14)</f>
        <v>232.48694593060577</v>
      </c>
      <c r="T55" s="103">
        <f>SQRT(POWER($X55-T$29,2)+POWER($Y55-T$30,2))-(T$38+$Z55+$I$14)</f>
        <v>345.4518710804671</v>
      </c>
      <c r="U55" s="102" t="s">
        <v>37</v>
      </c>
      <c r="V55" s="160" t="s">
        <v>37</v>
      </c>
      <c r="X55" s="108">
        <f>$O29</f>
        <v>489.1679487938187</v>
      </c>
      <c r="Y55" s="109">
        <f>$O30</f>
        <v>55.832051206181276</v>
      </c>
      <c r="Z55" s="105">
        <f>O$38</f>
        <v>55.83205120618128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8.263225339533165E-07</v>
      </c>
      <c r="R56" s="103">
        <f>SQRT(POWER($X56-R$29,2)+POWER($Y56-R$30,2))-(R$38+$Z56+$I$14)</f>
        <v>121.06666714544401</v>
      </c>
      <c r="S56" s="103">
        <f>SQRT(POWER($X56-S$29,2)+POWER($Y56-S$30,2))-(S$38+$Z56+$I$14)</f>
        <v>125.03067318973568</v>
      </c>
      <c r="T56" s="103">
        <f>SQRT(POWER($X56-T$29,2)+POWER($Y56-T$30,2))-(T$38+$Z56+$I$14)</f>
        <v>144.80759643956048</v>
      </c>
      <c r="U56" s="102" t="s">
        <v>37</v>
      </c>
      <c r="V56" s="160" t="s">
        <v>37</v>
      </c>
      <c r="X56" s="108">
        <f>$P29</f>
        <v>350.8131652638204</v>
      </c>
      <c r="Y56" s="109">
        <f>$P30</f>
        <v>366.93746722492136</v>
      </c>
      <c r="Z56" s="105">
        <f>P$38</f>
        <v>55.83205120618128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179.59745293398214</v>
      </c>
      <c r="S57" s="103">
        <f>SQRT(POWER($X57-S$29,2)+POWER($Y57-S$30,2))-(S$38+$Z57+$I$14)</f>
        <v>133.57154837670146</v>
      </c>
      <c r="T57" s="103">
        <f>SQRT(POWER($X57-T$29,2)+POWER($Y57-T$30,2))-(T$38+$Z57+$I$14)</f>
        <v>94.80698691198747</v>
      </c>
      <c r="U57" s="102" t="s">
        <v>37</v>
      </c>
      <c r="V57" s="160" t="s">
        <v>37</v>
      </c>
      <c r="X57" s="108">
        <f>$Q29</f>
        <v>258.6818523573278</v>
      </c>
      <c r="Y57" s="109">
        <f>$Q30</f>
        <v>438.507951131435</v>
      </c>
      <c r="Z57" s="105">
        <f>Q$38</f>
        <v>55.83205120618128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-1.3710481994166912E-07</v>
      </c>
      <c r="T58" s="103">
        <f>SQRT(POWER($X58-T$29,2)+POWER($Y58-T$30,2))-(T$38+$Z58+$I$14)</f>
        <v>119.35025280585147</v>
      </c>
      <c r="U58" s="102" t="s">
        <v>37</v>
      </c>
      <c r="V58" s="160" t="s">
        <v>37</v>
      </c>
      <c r="X58" s="108">
        <f>$R29</f>
        <v>272.2653733149286</v>
      </c>
      <c r="Y58" s="109">
        <f>$R30</f>
        <v>142.55796019609187</v>
      </c>
      <c r="Z58" s="105">
        <f>R$38</f>
        <v>55.83205120618128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6.716156944902636</v>
      </c>
      <c r="U59" s="102" t="s">
        <v>37</v>
      </c>
      <c r="V59" s="160" t="s">
        <v>37</v>
      </c>
      <c r="X59" s="108">
        <f>$S29</f>
        <v>172.77245339600748</v>
      </c>
      <c r="Y59" s="109">
        <f>$S30</f>
        <v>203.48145029391006</v>
      </c>
      <c r="Z59" s="105">
        <f>S$38</f>
        <v>55.83205120618128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97.69144008202194</v>
      </c>
      <c r="Y60" s="109">
        <f>$T30</f>
        <v>301.3871694262016</v>
      </c>
      <c r="Z60" s="105">
        <f>T$38</f>
        <v>55.83205120618128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-246.64457100078562</v>
      </c>
      <c r="D67" s="116">
        <f t="shared" si="15"/>
        <v>-240.37702215883866</v>
      </c>
      <c r="E67" s="116">
        <f t="shared" si="15"/>
        <v>-314.881949930489</v>
      </c>
      <c r="F67" s="116">
        <f t="shared" si="15"/>
        <v>-177.33998108189115</v>
      </c>
      <c r="G67" s="116">
        <f t="shared" si="15"/>
        <v>-423.4280646691192</v>
      </c>
      <c r="H67" s="116">
        <f t="shared" si="15"/>
        <v>-354.99526156088183</v>
      </c>
      <c r="I67" s="116">
        <f t="shared" si="15"/>
        <v>-132.7548006857918</v>
      </c>
      <c r="J67" s="116">
        <f t="shared" si="15"/>
        <v>-107.34865664436944</v>
      </c>
      <c r="K67" s="116">
        <f t="shared" si="15"/>
        <v>-448.3358975876374</v>
      </c>
      <c r="L67" s="116">
        <f t="shared" si="15"/>
        <v>-330.08742864236353</v>
      </c>
      <c r="M67" s="116">
        <f t="shared" si="15"/>
        <v>-60.96575537848901</v>
      </c>
      <c r="N67" s="116">
        <f t="shared" si="15"/>
        <v>-18.309251952259388</v>
      </c>
      <c r="O67" s="116">
        <f t="shared" si="15"/>
        <v>0</v>
      </c>
      <c r="P67" s="116">
        <f t="shared" si="15"/>
        <v>-138.35478352999831</v>
      </c>
      <c r="Q67" s="116">
        <f t="shared" si="15"/>
        <v>-230.48609643649093</v>
      </c>
      <c r="R67" s="116">
        <f t="shared" si="15"/>
        <v>-216.90257547889013</v>
      </c>
      <c r="S67" s="116">
        <f t="shared" si="15"/>
        <v>-316.39549539781126</v>
      </c>
      <c r="T67" s="116">
        <f t="shared" si="15"/>
        <v>-391.4765087117968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221.6913265868518</v>
      </c>
      <c r="D71" s="116">
        <f t="shared" si="16"/>
        <v>227.95887542879876</v>
      </c>
      <c r="E71" s="116">
        <f t="shared" si="16"/>
        <v>153.45394765714846</v>
      </c>
      <c r="F71" s="116">
        <f t="shared" si="16"/>
        <v>290.99591650574627</v>
      </c>
      <c r="G71" s="116">
        <f t="shared" si="16"/>
        <v>24.907832918518274</v>
      </c>
      <c r="H71" s="116">
        <f t="shared" si="16"/>
        <v>93.34063602675559</v>
      </c>
      <c r="I71" s="116">
        <f t="shared" si="16"/>
        <v>315.5810969018456</v>
      </c>
      <c r="J71" s="116">
        <f t="shared" si="16"/>
        <v>340.987240943268</v>
      </c>
      <c r="K71" s="116">
        <f t="shared" si="16"/>
        <v>-7.105427357601002E-15</v>
      </c>
      <c r="L71" s="116">
        <f t="shared" si="16"/>
        <v>118.24846894527388</v>
      </c>
      <c r="M71" s="116">
        <f t="shared" si="16"/>
        <v>367.3701422091484</v>
      </c>
      <c r="N71" s="116">
        <f t="shared" si="16"/>
        <v>410.0266456353781</v>
      </c>
      <c r="O71" s="116">
        <f t="shared" si="16"/>
        <v>428.3358975876374</v>
      </c>
      <c r="P71" s="116">
        <f t="shared" si="16"/>
        <v>289.9811140576391</v>
      </c>
      <c r="Q71" s="116">
        <f t="shared" si="16"/>
        <v>197.8498011511465</v>
      </c>
      <c r="R71" s="116">
        <f t="shared" si="16"/>
        <v>211.4333221087473</v>
      </c>
      <c r="S71" s="116">
        <f t="shared" si="16"/>
        <v>111.94040218982619</v>
      </c>
      <c r="T71" s="116">
        <f t="shared" si="16"/>
        <v>36.85938887584066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-269.78774834425275</v>
      </c>
      <c r="D75" s="122">
        <f t="shared" si="17"/>
        <v>-193.3802720638094</v>
      </c>
      <c r="E75" s="122">
        <f t="shared" si="17"/>
        <v>-211.4468250659661</v>
      </c>
      <c r="F75" s="122">
        <f t="shared" si="17"/>
        <v>-237.01186672061635</v>
      </c>
      <c r="G75" s="122">
        <f t="shared" si="17"/>
        <v>-93.39993863231973</v>
      </c>
      <c r="H75" s="122">
        <f t="shared" si="17"/>
        <v>-25.129153255504548</v>
      </c>
      <c r="I75" s="122">
        <f t="shared" si="17"/>
        <v>-306.4758959770038</v>
      </c>
      <c r="J75" s="122">
        <f t="shared" si="17"/>
        <v>-399.7415195599275</v>
      </c>
      <c r="K75" s="122">
        <f t="shared" si="17"/>
        <v>0</v>
      </c>
      <c r="L75" s="122">
        <f t="shared" si="17"/>
        <v>-118.52909188782422</v>
      </c>
      <c r="M75" s="122">
        <f t="shared" si="17"/>
        <v>-209.53140433953212</v>
      </c>
      <c r="N75" s="122">
        <f t="shared" si="17"/>
        <v>-318.117478540149</v>
      </c>
      <c r="O75" s="122">
        <f t="shared" si="17"/>
        <v>-433.3358975876374</v>
      </c>
      <c r="P75" s="122">
        <f t="shared" si="17"/>
        <v>-122.23048156889735</v>
      </c>
      <c r="Q75" s="122">
        <f t="shared" si="17"/>
        <v>-50.65999766238372</v>
      </c>
      <c r="R75" s="122">
        <f t="shared" si="17"/>
        <v>-346.60998859772684</v>
      </c>
      <c r="S75" s="122">
        <f t="shared" si="17"/>
        <v>-285.6864984999087</v>
      </c>
      <c r="T75" s="122">
        <f t="shared" si="17"/>
        <v>-187.78077936761713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198.54814924338467</v>
      </c>
      <c r="D79" s="128">
        <f aca="true" t="shared" si="18" ref="D79:T79">D30-D38-J9</f>
        <v>279.955625523828</v>
      </c>
      <c r="E79" s="128">
        <f t="shared" si="18"/>
        <v>261.8890725216713</v>
      </c>
      <c r="F79" s="128">
        <f t="shared" si="18"/>
        <v>236.32403086702107</v>
      </c>
      <c r="G79" s="128">
        <f t="shared" si="18"/>
        <v>359.9359589553177</v>
      </c>
      <c r="H79" s="128">
        <f t="shared" si="18"/>
        <v>428.2067443321329</v>
      </c>
      <c r="I79" s="128">
        <f t="shared" si="18"/>
        <v>146.86000161063362</v>
      </c>
      <c r="J79" s="128">
        <f t="shared" si="18"/>
        <v>53.5943780277099</v>
      </c>
      <c r="K79" s="128">
        <f t="shared" si="18"/>
        <v>453.3358975876375</v>
      </c>
      <c r="L79" s="128">
        <f t="shared" si="18"/>
        <v>334.8068056998132</v>
      </c>
      <c r="M79" s="128">
        <f t="shared" si="18"/>
        <v>223.8044932481053</v>
      </c>
      <c r="N79" s="128">
        <f t="shared" si="18"/>
        <v>115.21841904748837</v>
      </c>
      <c r="O79" s="128">
        <f t="shared" si="18"/>
        <v>-7.105427357601002E-15</v>
      </c>
      <c r="P79" s="128">
        <f t="shared" si="18"/>
        <v>311.1054160187401</v>
      </c>
      <c r="Q79" s="128">
        <f t="shared" si="18"/>
        <v>382.6758999252537</v>
      </c>
      <c r="R79" s="128">
        <f t="shared" si="18"/>
        <v>86.72590898991058</v>
      </c>
      <c r="S79" s="128">
        <f t="shared" si="18"/>
        <v>147.64939908772877</v>
      </c>
      <c r="T79" s="128">
        <f t="shared" si="18"/>
        <v>245.5551182200203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8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8</v>
      </c>
      <c r="P84" s="34">
        <f t="shared" si="19"/>
        <v>8</v>
      </c>
      <c r="Q84" s="34">
        <f t="shared" si="19"/>
        <v>8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20" ref="C85:T85">$L$7+(($L$8-$L$7)/$I$10)*(C$30-C$38)</f>
        <v>12</v>
      </c>
      <c r="D85" s="8">
        <f t="shared" si="20"/>
        <v>12</v>
      </c>
      <c r="E85" s="8">
        <f t="shared" si="20"/>
        <v>12</v>
      </c>
      <c r="F85" s="8">
        <f t="shared" si="20"/>
        <v>12</v>
      </c>
      <c r="G85" s="8">
        <f t="shared" si="20"/>
        <v>12</v>
      </c>
      <c r="H85" s="8">
        <f t="shared" si="20"/>
        <v>12</v>
      </c>
      <c r="I85" s="8">
        <f t="shared" si="20"/>
        <v>12</v>
      </c>
      <c r="J85" s="8">
        <f t="shared" si="20"/>
        <v>12</v>
      </c>
      <c r="K85" s="8">
        <f t="shared" si="20"/>
        <v>12</v>
      </c>
      <c r="L85" s="8">
        <f t="shared" si="20"/>
        <v>12</v>
      </c>
      <c r="M85" s="8">
        <f t="shared" si="20"/>
        <v>12</v>
      </c>
      <c r="N85" s="8">
        <f t="shared" si="20"/>
        <v>12</v>
      </c>
      <c r="O85" s="8">
        <f t="shared" si="20"/>
        <v>12</v>
      </c>
      <c r="P85" s="8">
        <f t="shared" si="20"/>
        <v>12</v>
      </c>
      <c r="Q85" s="8">
        <f t="shared" si="20"/>
        <v>12</v>
      </c>
      <c r="R85" s="8">
        <f t="shared" si="20"/>
        <v>12</v>
      </c>
      <c r="S85" s="8">
        <f t="shared" si="20"/>
        <v>12</v>
      </c>
      <c r="T85" s="8">
        <f t="shared" si="20"/>
        <v>12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8</v>
      </c>
      <c r="D86" s="133">
        <f t="shared" si="21"/>
        <v>8</v>
      </c>
      <c r="E86" s="133">
        <f t="shared" si="21"/>
        <v>8</v>
      </c>
      <c r="F86" s="133">
        <f t="shared" si="21"/>
        <v>8</v>
      </c>
      <c r="G86" s="133">
        <f t="shared" si="21"/>
        <v>8</v>
      </c>
      <c r="H86" s="133">
        <f t="shared" si="21"/>
        <v>8</v>
      </c>
      <c r="I86" s="133">
        <f t="shared" si="21"/>
        <v>4</v>
      </c>
      <c r="J86" s="133">
        <f t="shared" si="21"/>
        <v>4</v>
      </c>
      <c r="K86" s="133">
        <f t="shared" si="21"/>
        <v>8</v>
      </c>
      <c r="L86" s="133">
        <f t="shared" si="21"/>
        <v>8</v>
      </c>
      <c r="M86" s="133">
        <f t="shared" si="21"/>
        <v>8</v>
      </c>
      <c r="N86" s="133">
        <f t="shared" si="21"/>
        <v>4</v>
      </c>
      <c r="O86" s="133">
        <f t="shared" si="21"/>
        <v>4</v>
      </c>
      <c r="P86" s="133">
        <f t="shared" si="21"/>
        <v>4</v>
      </c>
      <c r="Q86" s="133">
        <f t="shared" si="21"/>
        <v>4</v>
      </c>
      <c r="R86" s="133">
        <f t="shared" si="21"/>
        <v>4</v>
      </c>
      <c r="S86" s="133">
        <f t="shared" si="21"/>
        <v>4</v>
      </c>
      <c r="T86" s="133">
        <f t="shared" si="21"/>
        <v>4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120</v>
      </c>
      <c r="D93" s="34"/>
      <c r="E93" s="132" t="s">
        <v>45</v>
      </c>
      <c r="F93" s="137">
        <f>SUM(C31:T31)*F22</f>
        <v>1800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480</v>
      </c>
      <c r="D94" s="34"/>
      <c r="E94" s="129" t="s">
        <v>44</v>
      </c>
      <c r="F94" s="139">
        <f>(J16-SUM(C31:T31))*F21</f>
        <v>180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1200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191.28571594558895</v>
      </c>
      <c r="D98" s="34">
        <f t="shared" si="22"/>
        <v>170.60080281917925</v>
      </c>
      <c r="E98" s="34">
        <f t="shared" si="22"/>
        <v>153.19893988771761</v>
      </c>
      <c r="F98" s="34">
        <f t="shared" si="22"/>
        <v>202.01272229415866</v>
      </c>
      <c r="G98" s="34">
        <f t="shared" si="22"/>
        <v>85.19316397704978</v>
      </c>
      <c r="H98" s="34">
        <f t="shared" si="22"/>
        <v>85.24814307852864</v>
      </c>
      <c r="I98" s="34">
        <f t="shared" si="22"/>
        <v>237.08328426160534</v>
      </c>
      <c r="J98" s="34">
        <f t="shared" si="22"/>
        <v>270.73326542657014</v>
      </c>
      <c r="K98" s="34">
        <f t="shared" si="22"/>
        <v>50.49923072370876</v>
      </c>
      <c r="L98" s="34">
        <f t="shared" si="22"/>
        <v>121.53248346283038</v>
      </c>
      <c r="M98" s="34">
        <f t="shared" si="22"/>
        <v>220.59507550726374</v>
      </c>
      <c r="N98" s="34">
        <f t="shared" si="22"/>
        <v>270.0381987250713</v>
      </c>
      <c r="O98" s="34">
        <f t="shared" si="22"/>
        <v>314.9686404595625</v>
      </c>
      <c r="P98" s="34">
        <f t="shared" si="22"/>
        <v>172.86352719606697</v>
      </c>
      <c r="Q98" s="34">
        <f t="shared" si="22"/>
        <v>126.6438101523479</v>
      </c>
      <c r="R98" s="34">
        <f t="shared" si="22"/>
        <v>217.5512435787713</v>
      </c>
      <c r="S98" s="34">
        <f t="shared" si="22"/>
        <v>168.15677616280428</v>
      </c>
      <c r="T98" s="34">
        <f t="shared" si="22"/>
        <v>119.40271756031825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177.45269322034966</v>
      </c>
      <c r="D99" s="34">
        <f t="shared" si="23"/>
        <v>198.74288304245908</v>
      </c>
      <c r="E99" s="34">
        <f t="shared" si="23"/>
        <v>214.90557917462817</v>
      </c>
      <c r="F99" s="34">
        <f t="shared" si="23"/>
        <v>166.38282291884184</v>
      </c>
      <c r="G99" s="34">
        <f t="shared" si="23"/>
        <v>280.8834936560061</v>
      </c>
      <c r="H99" s="34">
        <f t="shared" si="23"/>
        <v>280.8620487799752</v>
      </c>
      <c r="I99" s="34">
        <f t="shared" si="23"/>
        <v>132.8664890883828</v>
      </c>
      <c r="J99" s="34">
        <f t="shared" si="23"/>
        <v>96.66819767898252</v>
      </c>
      <c r="K99" s="34">
        <f t="shared" si="23"/>
        <v>319.50076927629124</v>
      </c>
      <c r="L99" s="34">
        <f t="shared" si="23"/>
        <v>248.46746612408873</v>
      </c>
      <c r="M99" s="34">
        <f t="shared" si="23"/>
        <v>135.14741570728708</v>
      </c>
      <c r="N99" s="34">
        <f t="shared" si="23"/>
        <v>93.5708313636427</v>
      </c>
      <c r="O99" s="34">
        <f t="shared" si="23"/>
        <v>54.995417198980476</v>
      </c>
      <c r="P99" s="34">
        <f t="shared" si="23"/>
        <v>182.1169507987167</v>
      </c>
      <c r="Q99" s="34">
        <f t="shared" si="23"/>
        <v>230.49092090561828</v>
      </c>
      <c r="R99" s="34">
        <f t="shared" si="23"/>
        <v>142.0943943154499</v>
      </c>
      <c r="S99" s="34">
        <f t="shared" si="23"/>
        <v>185.72408371973768</v>
      </c>
      <c r="T99" s="34">
        <f t="shared" si="23"/>
        <v>236.671485236862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7057.575841712723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G1">
      <selection activeCell="AA8" sqref="AA8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4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500</v>
      </c>
      <c r="K8" s="56" t="s">
        <v>17</v>
      </c>
      <c r="L8" s="57">
        <v>14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1000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1118.033988749895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18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0.4293250516799596</v>
      </c>
      <c r="J24" s="58" t="s">
        <v>67</v>
      </c>
    </row>
    <row r="25" spans="8:10" ht="13.5" thickBot="1">
      <c r="H25" s="49" t="s">
        <v>68</v>
      </c>
      <c r="I25" s="52">
        <f>(I22-J22)/I11</f>
        <v>0.16099689437998485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v>289.89734940671775</v>
      </c>
      <c r="D29" s="96">
        <v>392.4606894766529</v>
      </c>
      <c r="E29" s="96">
        <v>377.9010650792786</v>
      </c>
      <c r="F29" s="96">
        <v>463.5281650852714</v>
      </c>
      <c r="G29" s="96">
        <v>374.73998865885403</v>
      </c>
      <c r="H29" s="96">
        <v>462.4853866031672</v>
      </c>
      <c r="I29" s="96">
        <v>227.2146813952782</v>
      </c>
      <c r="J29" s="96">
        <v>454.0559776057058</v>
      </c>
      <c r="K29" s="96">
        <v>410.30026480263524</v>
      </c>
      <c r="L29" s="96">
        <v>453.00590937276496</v>
      </c>
      <c r="M29" s="96">
        <v>296.2184560332139</v>
      </c>
      <c r="N29" s="96">
        <v>125.43679425094554</v>
      </c>
      <c r="O29" s="96">
        <v>375.58266144079084</v>
      </c>
      <c r="P29" s="96">
        <v>196.18812007711847</v>
      </c>
      <c r="Q29" s="96">
        <v>291.6720985676257</v>
      </c>
      <c r="R29" s="96">
        <v>307.4329863084562</v>
      </c>
      <c r="S29" s="96">
        <v>441.3308561798703</v>
      </c>
      <c r="T29" s="96">
        <v>328.99256853961083</v>
      </c>
      <c r="U29" s="96">
        <v>0</v>
      </c>
      <c r="V29" s="97">
        <v>0</v>
      </c>
    </row>
    <row r="30" spans="1:22" ht="12.75">
      <c r="A30" s="6"/>
      <c r="B30" s="31" t="s">
        <v>6</v>
      </c>
      <c r="C30" s="98">
        <v>138.6228651573097</v>
      </c>
      <c r="D30" s="99">
        <v>274.0162391265866</v>
      </c>
      <c r="E30" s="99">
        <v>30.873812910734703</v>
      </c>
      <c r="F30" s="99">
        <v>117.77821157621332</v>
      </c>
      <c r="G30" s="99">
        <v>206.73057562320685</v>
      </c>
      <c r="H30" s="99">
        <v>274.4770039291063</v>
      </c>
      <c r="I30" s="99">
        <v>443.60511041763556</v>
      </c>
      <c r="J30" s="99">
        <v>40.9440223942942</v>
      </c>
      <c r="K30" s="99">
        <v>551.8405233374968</v>
      </c>
      <c r="L30" s="99">
        <v>195.53542092607108</v>
      </c>
      <c r="M30" s="99">
        <v>217.1189461642228</v>
      </c>
      <c r="N30" s="99">
        <v>453.66914382012965</v>
      </c>
      <c r="O30" s="99">
        <v>118.1914926400676</v>
      </c>
      <c r="P30" s="99">
        <v>541.6433509772664</v>
      </c>
      <c r="Q30" s="99">
        <v>51.013972506886105</v>
      </c>
      <c r="R30" s="99">
        <v>564.6332910053923</v>
      </c>
      <c r="S30" s="99">
        <v>453.66914382012976</v>
      </c>
      <c r="T30" s="99">
        <v>453.66914382012976</v>
      </c>
      <c r="U30" s="99">
        <v>0</v>
      </c>
      <c r="V30" s="100">
        <v>0</v>
      </c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9">
        <v>1</v>
      </c>
      <c r="T31" s="9">
        <v>1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29">
        <v>1</v>
      </c>
      <c r="T34" s="29">
        <v>1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T36">$L$7+(($L$8-$L$7)/$I$10)*C30</f>
        <v>5.386228651573097</v>
      </c>
      <c r="D36" s="87">
        <f t="shared" si="0"/>
        <v>6.740162391265866</v>
      </c>
      <c r="E36" s="87">
        <f t="shared" si="0"/>
        <v>4.308738129107347</v>
      </c>
      <c r="F36" s="87">
        <f t="shared" si="0"/>
        <v>5.177782115762133</v>
      </c>
      <c r="G36" s="87">
        <f t="shared" si="0"/>
        <v>6.067305756232068</v>
      </c>
      <c r="H36" s="87">
        <f t="shared" si="0"/>
        <v>6.744770039291063</v>
      </c>
      <c r="I36" s="87">
        <f t="shared" si="0"/>
        <v>8.436051104176356</v>
      </c>
      <c r="J36" s="87">
        <f t="shared" si="0"/>
        <v>4.409440223942942</v>
      </c>
      <c r="K36" s="87">
        <f t="shared" si="0"/>
        <v>9.518405233374969</v>
      </c>
      <c r="L36" s="87">
        <f t="shared" si="0"/>
        <v>5.955354209260711</v>
      </c>
      <c r="M36" s="87">
        <f t="shared" si="0"/>
        <v>6.1711894616422285</v>
      </c>
      <c r="N36" s="87">
        <f t="shared" si="0"/>
        <v>8.536691438201297</v>
      </c>
      <c r="O36" s="87">
        <f t="shared" si="0"/>
        <v>5.181914926400676</v>
      </c>
      <c r="P36" s="87">
        <f t="shared" si="0"/>
        <v>9.416433509772665</v>
      </c>
      <c r="Q36" s="87">
        <f t="shared" si="0"/>
        <v>4.510139725068861</v>
      </c>
      <c r="R36" s="87">
        <f t="shared" si="0"/>
        <v>9.646332910053923</v>
      </c>
      <c r="S36" s="87">
        <f t="shared" si="0"/>
        <v>8.536691438201299</v>
      </c>
      <c r="T36" s="87">
        <f t="shared" si="0"/>
        <v>8.536691438201299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T37">(C36+$D$16)/COS($D$15)</f>
        <v>8.528882200563709</v>
      </c>
      <c r="D37" s="104">
        <f t="shared" si="1"/>
        <v>10.092270218716783</v>
      </c>
      <c r="E37" s="104">
        <f t="shared" si="1"/>
        <v>7.284703314173966</v>
      </c>
      <c r="F37" s="104">
        <f t="shared" si="1"/>
        <v>8.288188873439498</v>
      </c>
      <c r="G37" s="104">
        <f t="shared" si="1"/>
        <v>9.315322299991205</v>
      </c>
      <c r="H37" s="104">
        <f t="shared" si="1"/>
        <v>10.097590672372139</v>
      </c>
      <c r="I37" s="104">
        <f t="shared" si="1"/>
        <v>12.05051382854582</v>
      </c>
      <c r="J37" s="104">
        <f t="shared" si="1"/>
        <v>7.400984077296546</v>
      </c>
      <c r="K37" s="104">
        <f t="shared" si="1"/>
        <v>13.300308724248465</v>
      </c>
      <c r="L37" s="104">
        <f t="shared" si="1"/>
        <v>9.186051788430989</v>
      </c>
      <c r="M37" s="104">
        <f t="shared" si="1"/>
        <v>9.435276870557148</v>
      </c>
      <c r="N37" s="104">
        <f t="shared" si="1"/>
        <v>12.166723276427089</v>
      </c>
      <c r="O37" s="104">
        <f t="shared" si="1"/>
        <v>8.292961032108844</v>
      </c>
      <c r="P37" s="104">
        <f t="shared" si="1"/>
        <v>13.182561920105424</v>
      </c>
      <c r="Q37" s="104">
        <f t="shared" si="1"/>
        <v>7.517261845461166</v>
      </c>
      <c r="R37" s="104">
        <f t="shared" si="1"/>
        <v>13.44802688138326</v>
      </c>
      <c r="S37" s="104">
        <f t="shared" si="1"/>
        <v>12.16672327642709</v>
      </c>
      <c r="T37" s="104">
        <f t="shared" si="1"/>
        <v>12.16672327642709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f aca="true" t="shared" si="2" ref="C38:T38">C36*TAN(ACOS(C36/C37))+SUMPRODUCT($F$9:$F$11,C32:C34)+$I$14</f>
        <v>31.61289441198523</v>
      </c>
      <c r="D38" s="106">
        <f t="shared" si="2"/>
        <v>32.51159963702558</v>
      </c>
      <c r="E38" s="106">
        <f t="shared" si="2"/>
        <v>30.873812910734703</v>
      </c>
      <c r="F38" s="106">
        <f t="shared" si="2"/>
        <v>31.471834914728596</v>
      </c>
      <c r="G38" s="106">
        <f t="shared" si="2"/>
        <v>32.06845318390853</v>
      </c>
      <c r="H38" s="106">
        <f t="shared" si="2"/>
        <v>32.514613396832765</v>
      </c>
      <c r="I38" s="106">
        <f t="shared" si="2"/>
        <v>43.605110417635494</v>
      </c>
      <c r="J38" s="106">
        <f t="shared" si="2"/>
        <v>40.9440223942942</v>
      </c>
      <c r="K38" s="106">
        <f t="shared" si="2"/>
        <v>44.2896810480005</v>
      </c>
      <c r="L38" s="106">
        <f t="shared" si="2"/>
        <v>41.99409062723503</v>
      </c>
      <c r="M38" s="106">
        <f t="shared" si="2"/>
        <v>42.13728731750282</v>
      </c>
      <c r="N38" s="106">
        <f t="shared" si="2"/>
        <v>53.66914382012972</v>
      </c>
      <c r="O38" s="106">
        <f t="shared" si="2"/>
        <v>51.47463978732575</v>
      </c>
      <c r="P38" s="106">
        <f t="shared" si="2"/>
        <v>54.22554706960211</v>
      </c>
      <c r="Q38" s="106">
        <f t="shared" si="2"/>
        <v>51.013972506886105</v>
      </c>
      <c r="R38" s="106">
        <f t="shared" si="2"/>
        <v>54.37004206985313</v>
      </c>
      <c r="S38" s="106">
        <f t="shared" si="2"/>
        <v>53.66914382012972</v>
      </c>
      <c r="T38" s="106">
        <f t="shared" si="2"/>
        <v>53.66914382012972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3" ref="D43:T43">SQRT(POWER($X43-D$29,2)+POWER($Y43-D$30,2))-(D$38+$Z43+$I$14)</f>
        <v>100.73016276405869</v>
      </c>
      <c r="E43" s="101">
        <f t="shared" si="3"/>
        <v>71.63378804806318</v>
      </c>
      <c r="F43" s="101">
        <f t="shared" si="3"/>
        <v>106.79282708380951</v>
      </c>
      <c r="G43" s="101">
        <f t="shared" si="3"/>
        <v>40.116325449877834</v>
      </c>
      <c r="H43" s="101">
        <f t="shared" si="3"/>
        <v>150.5153331961863</v>
      </c>
      <c r="I43" s="101">
        <f t="shared" si="3"/>
        <v>231.13916433958576</v>
      </c>
      <c r="J43" s="101">
        <f t="shared" si="3"/>
        <v>113.46457815095174</v>
      </c>
      <c r="K43" s="101">
        <f t="shared" si="3"/>
        <v>349.499207839938</v>
      </c>
      <c r="L43" s="101">
        <f t="shared" si="3"/>
        <v>94.14555861305132</v>
      </c>
      <c r="M43" s="101">
        <f t="shared" si="3"/>
        <v>0</v>
      </c>
      <c r="N43" s="101">
        <f t="shared" si="3"/>
        <v>265.10708920629736</v>
      </c>
      <c r="O43" s="101">
        <f t="shared" si="3"/>
        <v>0</v>
      </c>
      <c r="P43" s="101">
        <f t="shared" si="3"/>
        <v>322.93315209644146</v>
      </c>
      <c r="Q43" s="101">
        <f t="shared" si="3"/>
        <v>0</v>
      </c>
      <c r="R43" s="101">
        <f t="shared" si="3"/>
        <v>335.3882415928696</v>
      </c>
      <c r="S43" s="101">
        <f t="shared" si="3"/>
        <v>259.26948110788976</v>
      </c>
      <c r="T43" s="101">
        <f t="shared" si="3"/>
        <v>227.1807058156555</v>
      </c>
      <c r="U43" s="158" t="s">
        <v>37</v>
      </c>
      <c r="V43" s="159" t="s">
        <v>37</v>
      </c>
      <c r="X43" s="108">
        <f>$C29</f>
        <v>289.89734940671775</v>
      </c>
      <c r="Y43" s="109">
        <f>$C30</f>
        <v>138.6228651573097</v>
      </c>
      <c r="Z43" s="105">
        <f>C$38</f>
        <v>31.61289441198523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4" ref="E44:T44">SQRT(POWER($X44-E$29,2)+POWER($Y44-E$30,2))-(E$38+$Z44+$I$14)</f>
        <v>175.1925464073217</v>
      </c>
      <c r="F44" s="103">
        <f t="shared" si="4"/>
        <v>102.65836496751436</v>
      </c>
      <c r="G44" s="103">
        <f t="shared" si="4"/>
        <v>0</v>
      </c>
      <c r="H44" s="103">
        <f t="shared" si="4"/>
        <v>0</v>
      </c>
      <c r="I44" s="103">
        <f t="shared" si="4"/>
        <v>155.6672177204346</v>
      </c>
      <c r="J44" s="103">
        <f t="shared" si="4"/>
        <v>162.61830383418257</v>
      </c>
      <c r="K44" s="103">
        <f t="shared" si="4"/>
        <v>196.59516926560826</v>
      </c>
      <c r="L44" s="103">
        <f t="shared" si="4"/>
        <v>19.61525846854225</v>
      </c>
      <c r="M44" s="103">
        <f t="shared" si="4"/>
        <v>32.15392805755641</v>
      </c>
      <c r="N44" s="103">
        <f t="shared" si="4"/>
        <v>230.65295084214705</v>
      </c>
      <c r="O44" s="103">
        <f t="shared" si="4"/>
        <v>67.74990652790581</v>
      </c>
      <c r="P44" s="103">
        <f t="shared" si="4"/>
        <v>240.14715918358962</v>
      </c>
      <c r="Q44" s="103">
        <f t="shared" si="4"/>
        <v>156.19539339633624</v>
      </c>
      <c r="R44" s="103">
        <f t="shared" si="4"/>
        <v>210.91859136566603</v>
      </c>
      <c r="S44" s="103">
        <f t="shared" si="4"/>
        <v>95.00051058961378</v>
      </c>
      <c r="T44" s="103">
        <f t="shared" si="4"/>
        <v>99.35368529551477</v>
      </c>
      <c r="U44" s="102" t="s">
        <v>37</v>
      </c>
      <c r="V44" s="160" t="s">
        <v>37</v>
      </c>
      <c r="X44" s="108">
        <f>$D29</f>
        <v>392.4606894766529</v>
      </c>
      <c r="Y44" s="109">
        <f>$D30</f>
        <v>274.0162391265866</v>
      </c>
      <c r="Z44" s="105">
        <f>D$38</f>
        <v>32.51159963702558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5" ref="F45:T45">SQRT(POWER($X45-F$29,2)+POWER($Y45-F$30,2))-(F$38+$Z45+$I$14)</f>
        <v>54.655888078166726</v>
      </c>
      <c r="G45" s="103">
        <f t="shared" si="5"/>
        <v>107.94290495694514</v>
      </c>
      <c r="H45" s="103">
        <f t="shared" si="5"/>
        <v>189.48173893453608</v>
      </c>
      <c r="I45" s="103">
        <f t="shared" si="5"/>
        <v>359.8996266367956</v>
      </c>
      <c r="J45" s="103">
        <f t="shared" si="5"/>
        <v>0</v>
      </c>
      <c r="K45" s="103">
        <f t="shared" si="5"/>
        <v>441.80970603873186</v>
      </c>
      <c r="L45" s="103">
        <f t="shared" si="5"/>
        <v>103.11326341192347</v>
      </c>
      <c r="M45" s="103">
        <f t="shared" si="5"/>
        <v>125.35875565306509</v>
      </c>
      <c r="N45" s="103">
        <f t="shared" si="5"/>
        <v>402.8939426620087</v>
      </c>
      <c r="O45" s="103">
        <f t="shared" si="5"/>
        <v>0</v>
      </c>
      <c r="P45" s="103">
        <f t="shared" si="5"/>
        <v>452.0308046462557</v>
      </c>
      <c r="Q45" s="103">
        <f t="shared" si="5"/>
        <v>1.6619785246179646</v>
      </c>
      <c r="R45" s="103">
        <f t="shared" si="5"/>
        <v>448.14720232026673</v>
      </c>
      <c r="S45" s="103">
        <f t="shared" si="5"/>
        <v>337.9839198954473</v>
      </c>
      <c r="T45" s="103">
        <f t="shared" si="5"/>
        <v>336.07181377476024</v>
      </c>
      <c r="U45" s="102" t="s">
        <v>37</v>
      </c>
      <c r="V45" s="160" t="s">
        <v>37</v>
      </c>
      <c r="X45" s="108">
        <f>$E29</f>
        <v>377.9010650792786</v>
      </c>
      <c r="Y45" s="109">
        <f>$E30</f>
        <v>30.873812910734703</v>
      </c>
      <c r="Z45" s="105">
        <f>E$38</f>
        <v>30.873812910734703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6" ref="G46:T46">SQRT(POWER($X46-G$29,2)+POWER($Y46-G$30,2))-(G$38+$Z46+$I$14)</f>
        <v>57.1413069846426</v>
      </c>
      <c r="H46" s="103">
        <f t="shared" si="6"/>
        <v>87.71581367536018</v>
      </c>
      <c r="I46" s="103">
        <f t="shared" si="6"/>
        <v>322.4242727804748</v>
      </c>
      <c r="J46" s="103">
        <f t="shared" si="6"/>
        <v>0</v>
      </c>
      <c r="K46" s="103">
        <f t="shared" si="6"/>
        <v>356.55221565342765</v>
      </c>
      <c r="L46" s="103">
        <f t="shared" si="6"/>
        <v>0</v>
      </c>
      <c r="M46" s="103">
        <f t="shared" si="6"/>
        <v>115.97021966091373</v>
      </c>
      <c r="N46" s="103">
        <f t="shared" si="6"/>
        <v>386.4390181138563</v>
      </c>
      <c r="O46" s="103">
        <f t="shared" si="6"/>
        <v>0</v>
      </c>
      <c r="P46" s="103">
        <f t="shared" si="6"/>
        <v>410.43369474553583</v>
      </c>
      <c r="Q46" s="103">
        <f t="shared" si="6"/>
        <v>96.88330934533121</v>
      </c>
      <c r="R46" s="103">
        <f t="shared" si="6"/>
        <v>382.49221945156535</v>
      </c>
      <c r="S46" s="103">
        <f t="shared" si="6"/>
        <v>246.48260761394323</v>
      </c>
      <c r="T46" s="103">
        <f t="shared" si="6"/>
        <v>271.69122699258105</v>
      </c>
      <c r="U46" s="102" t="s">
        <v>37</v>
      </c>
      <c r="V46" s="160" t="s">
        <v>37</v>
      </c>
      <c r="X46" s="108">
        <f>$F29</f>
        <v>463.5281650852714</v>
      </c>
      <c r="Y46" s="109">
        <f>$F30</f>
        <v>117.77821157621332</v>
      </c>
      <c r="Z46" s="105">
        <f>F$38</f>
        <v>31.471834914728596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7" ref="H47:T47">SQRT(POWER($X47-H$29,2)+POWER($Y47-H$30,2))-(H$38+$Z47+$I$14)</f>
        <v>41.27194417029446</v>
      </c>
      <c r="I47" s="103">
        <f t="shared" si="7"/>
        <v>198.38424674837157</v>
      </c>
      <c r="J47" s="103">
        <f t="shared" si="7"/>
        <v>105.77056861831775</v>
      </c>
      <c r="K47" s="103">
        <f t="shared" si="7"/>
        <v>265.5790492044905</v>
      </c>
      <c r="L47" s="103">
        <f t="shared" si="7"/>
        <v>0</v>
      </c>
      <c r="M47" s="103">
        <f t="shared" si="7"/>
        <v>0</v>
      </c>
      <c r="N47" s="103">
        <f t="shared" si="7"/>
        <v>260.16230211981974</v>
      </c>
      <c r="O47" s="103">
        <f t="shared" si="7"/>
        <v>0</v>
      </c>
      <c r="P47" s="103">
        <f t="shared" si="7"/>
        <v>288.2416856435973</v>
      </c>
      <c r="Q47" s="103">
        <f t="shared" si="7"/>
        <v>88.40534966572729</v>
      </c>
      <c r="R47" s="103">
        <f t="shared" si="7"/>
        <v>272.7380913678086</v>
      </c>
      <c r="S47" s="103">
        <f t="shared" si="7"/>
        <v>165.02205599140177</v>
      </c>
      <c r="T47" s="103">
        <f t="shared" si="7"/>
        <v>160.40276795291743</v>
      </c>
      <c r="U47" s="102" t="s">
        <v>37</v>
      </c>
      <c r="V47" s="160" t="s">
        <v>37</v>
      </c>
      <c r="X47" s="108">
        <f>$G29</f>
        <v>374.73998865885403</v>
      </c>
      <c r="Y47" s="109">
        <f>$G30</f>
        <v>206.73057562320685</v>
      </c>
      <c r="Z47" s="105">
        <f>G$38</f>
        <v>32.06845318390853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8" ref="I48:T48">SQRT(POWER($X48-I$29,2)+POWER($Y48-I$30,2))-(I$38+$Z48+$I$14)</f>
        <v>208.63296579067196</v>
      </c>
      <c r="J48" s="103">
        <f t="shared" si="8"/>
        <v>155.22642663389277</v>
      </c>
      <c r="K48" s="103">
        <f t="shared" si="8"/>
        <v>200.42576921944936</v>
      </c>
      <c r="L48" s="103">
        <f t="shared" si="8"/>
        <v>0</v>
      </c>
      <c r="M48" s="103">
        <f t="shared" si="8"/>
        <v>96.23055717079119</v>
      </c>
      <c r="N48" s="103">
        <f t="shared" si="8"/>
        <v>290.53810042985634</v>
      </c>
      <c r="O48" s="103">
        <f t="shared" si="8"/>
        <v>89.83257065041644</v>
      </c>
      <c r="P48" s="103">
        <f t="shared" si="8"/>
        <v>285.4760787840823</v>
      </c>
      <c r="Q48" s="103">
        <f t="shared" si="8"/>
        <v>192.74157920790657</v>
      </c>
      <c r="R48" s="103">
        <f t="shared" si="8"/>
        <v>237.10154145812038</v>
      </c>
      <c r="S48" s="103">
        <f t="shared" si="8"/>
        <v>89.25276113825942</v>
      </c>
      <c r="T48" s="103">
        <f t="shared" si="8"/>
        <v>132.2668088446922</v>
      </c>
      <c r="U48" s="102" t="s">
        <v>37</v>
      </c>
      <c r="V48" s="160" t="s">
        <v>37</v>
      </c>
      <c r="X48" s="108">
        <f>$H29</f>
        <v>462.4853866031672</v>
      </c>
      <c r="Y48" s="109">
        <f>$H30</f>
        <v>274.4770039291063</v>
      </c>
      <c r="Z48" s="105">
        <f>H$38</f>
        <v>32.514613396832765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9" ref="J49:T49">SQRT(POWER($X49-J$29,2)+POWER($Y49-J$30,2))-(J$38+$Z49+$I$14)</f>
        <v>372.6120138399367</v>
      </c>
      <c r="K49" s="103">
        <f t="shared" si="9"/>
        <v>119.79097548068594</v>
      </c>
      <c r="L49" s="103">
        <f t="shared" si="9"/>
        <v>244.84118035847604</v>
      </c>
      <c r="M49" s="103">
        <f t="shared" si="9"/>
        <v>146.0222607603958</v>
      </c>
      <c r="N49" s="103">
        <f t="shared" si="9"/>
        <v>0</v>
      </c>
      <c r="O49" s="103">
        <f t="shared" si="9"/>
        <v>257.56124316390685</v>
      </c>
      <c r="P49" s="103">
        <f t="shared" si="9"/>
        <v>0</v>
      </c>
      <c r="Q49" s="103">
        <f t="shared" si="9"/>
        <v>298.22832525427646</v>
      </c>
      <c r="R49" s="103">
        <f t="shared" si="9"/>
        <v>42.224010524996544</v>
      </c>
      <c r="S49" s="103">
        <f t="shared" si="9"/>
        <v>112.07830831447606</v>
      </c>
      <c r="T49" s="103">
        <f t="shared" si="9"/>
        <v>0</v>
      </c>
      <c r="U49" s="102" t="s">
        <v>37</v>
      </c>
      <c r="V49" s="160" t="s">
        <v>37</v>
      </c>
      <c r="X49" s="108">
        <f>$I29</f>
        <v>227.2146813952782</v>
      </c>
      <c r="Y49" s="109">
        <f>$I30</f>
        <v>443.60511041763556</v>
      </c>
      <c r="Z49" s="105">
        <f>I$38</f>
        <v>43.605110417635494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10" ref="K50:T50">SQRT(POWER($X50-K$29,2)+POWER($Y50-K$30,2))-(K$38+$Z50+$I$14)</f>
        <v>422.5331023075633</v>
      </c>
      <c r="L50" s="103">
        <f t="shared" si="10"/>
        <v>66.65685178426418</v>
      </c>
      <c r="M50" s="103">
        <f t="shared" si="10"/>
        <v>148.45682036766183</v>
      </c>
      <c r="N50" s="103">
        <f t="shared" si="10"/>
        <v>427.9591923533086</v>
      </c>
      <c r="O50" s="103">
        <f t="shared" si="10"/>
        <v>12.695973581707833</v>
      </c>
      <c r="P50" s="103">
        <f t="shared" si="10"/>
        <v>463.03168194613295</v>
      </c>
      <c r="Q50" s="103">
        <f t="shared" si="10"/>
        <v>65.73781963233469</v>
      </c>
      <c r="R50" s="103">
        <f t="shared" si="10"/>
        <v>443.51380502709173</v>
      </c>
      <c r="S50" s="103">
        <f t="shared" si="10"/>
        <v>313.30807878427186</v>
      </c>
      <c r="T50" s="103">
        <f t="shared" si="10"/>
        <v>331.64416084588714</v>
      </c>
      <c r="U50" s="102" t="s">
        <v>37</v>
      </c>
      <c r="V50" s="160" t="s">
        <v>37</v>
      </c>
      <c r="X50" s="108">
        <f>$J29</f>
        <v>454.0559776057058</v>
      </c>
      <c r="Y50" s="109">
        <f>$J30</f>
        <v>40.9440223942942</v>
      </c>
      <c r="Z50" s="105">
        <f>J$38</f>
        <v>40.9440223942942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1" ref="L51:T51">SQRT(POWER($X51-L$29,2)+POWER($Y51-L$30,2))-(L$38+$Z51+$I$14)</f>
        <v>267.5714889557978</v>
      </c>
      <c r="M51" s="103">
        <f t="shared" si="11"/>
        <v>262.2016409373455</v>
      </c>
      <c r="N51" s="103">
        <f t="shared" si="11"/>
        <v>198.34636362203887</v>
      </c>
      <c r="O51" s="103">
        <f t="shared" si="11"/>
        <v>334.27222223664404</v>
      </c>
      <c r="P51" s="103">
        <f t="shared" si="11"/>
        <v>110.83960117976798</v>
      </c>
      <c r="Q51" s="103">
        <f t="shared" si="11"/>
        <v>414.3805951269313</v>
      </c>
      <c r="R51" s="103">
        <f t="shared" si="11"/>
        <v>-3.0423905585053035E-05</v>
      </c>
      <c r="S51" s="103">
        <f t="shared" si="11"/>
        <v>-1.097847891173842E-05</v>
      </c>
      <c r="T51" s="103">
        <f t="shared" si="11"/>
        <v>24.511019518466384</v>
      </c>
      <c r="U51" s="102" t="s">
        <v>37</v>
      </c>
      <c r="V51" s="160" t="s">
        <v>37</v>
      </c>
      <c r="X51" s="108">
        <f>$K29</f>
        <v>410.30026480263524</v>
      </c>
      <c r="Y51" s="109">
        <f>$K30</f>
        <v>551.8405233374968</v>
      </c>
      <c r="Z51" s="105">
        <f>K$38</f>
        <v>44.2896810480005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2" ref="M52:T52">SQRT(POWER($X52-M$29,2)+POWER($Y52-M$30,2))-(M$38+$Z52+$I$14)</f>
        <v>69.13470839850827</v>
      </c>
      <c r="N52" s="103">
        <f t="shared" si="12"/>
        <v>316.39137118220793</v>
      </c>
      <c r="O52" s="103">
        <f t="shared" si="12"/>
        <v>10.968203766941144</v>
      </c>
      <c r="P52" s="103">
        <f t="shared" si="12"/>
        <v>329.763048896286</v>
      </c>
      <c r="Q52" s="103">
        <f t="shared" si="12"/>
        <v>118.59075394964694</v>
      </c>
      <c r="R52" s="103">
        <f t="shared" si="12"/>
        <v>295.4037007100299</v>
      </c>
      <c r="S52" s="103">
        <f t="shared" si="12"/>
        <v>157.7343773105685</v>
      </c>
      <c r="T52" s="103">
        <f t="shared" si="12"/>
        <v>185.71471093207037</v>
      </c>
      <c r="U52" s="102" t="s">
        <v>37</v>
      </c>
      <c r="V52" s="160" t="s">
        <v>37</v>
      </c>
      <c r="X52" s="108">
        <f>$L29</f>
        <v>453.00590937276496</v>
      </c>
      <c r="Y52" s="109">
        <f>$L30</f>
        <v>195.53542092607108</v>
      </c>
      <c r="Z52" s="105">
        <f>L$38</f>
        <v>41.99409062723503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 aca="true" t="shared" si="13" ref="N53:T53">SQRT(POWER($X53-N$29,2)+POWER($Y53-N$30,2))-(N$38+$Z53+$I$14)</f>
        <v>190.9509543938424</v>
      </c>
      <c r="O53" s="103">
        <f t="shared" si="13"/>
        <v>28.21598055255555</v>
      </c>
      <c r="P53" s="103">
        <f t="shared" si="13"/>
        <v>238.22832779287515</v>
      </c>
      <c r="Q53" s="103">
        <f t="shared" si="13"/>
        <v>68.01591996725776</v>
      </c>
      <c r="R53" s="103">
        <f t="shared" si="13"/>
        <v>246.18791872466753</v>
      </c>
      <c r="S53" s="103">
        <f t="shared" si="13"/>
        <v>176.70682023493166</v>
      </c>
      <c r="T53" s="103">
        <f t="shared" si="13"/>
        <v>138.00340630971934</v>
      </c>
      <c r="U53" s="102" t="s">
        <v>37</v>
      </c>
      <c r="V53" s="160" t="s">
        <v>37</v>
      </c>
      <c r="X53" s="108">
        <f>$M29</f>
        <v>296.2184560332139</v>
      </c>
      <c r="Y53" s="109">
        <f>$M30</f>
        <v>217.1189461642228</v>
      </c>
      <c r="Z53" s="105">
        <f>M$38</f>
        <v>42.13728731750282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 aca="true" t="shared" si="14" ref="O54:T54">SQRT(POWER($X54-O$29,2)+POWER($Y54-O$30,2))-(O$38+$Z54+$I$14)</f>
        <v>308.3274929617388</v>
      </c>
      <c r="P54" s="103">
        <f t="shared" si="14"/>
        <v>0</v>
      </c>
      <c r="Q54" s="103">
        <f t="shared" si="14"/>
        <v>325.93754822708536</v>
      </c>
      <c r="R54" s="103">
        <f t="shared" si="14"/>
        <v>100.1172258925083</v>
      </c>
      <c r="S54" s="103">
        <f t="shared" si="14"/>
        <v>203.55577428866533</v>
      </c>
      <c r="T54" s="103">
        <f t="shared" si="14"/>
        <v>91.21748664840587</v>
      </c>
      <c r="U54" s="102" t="s">
        <v>37</v>
      </c>
      <c r="V54" s="160" t="s">
        <v>37</v>
      </c>
      <c r="X54" s="108">
        <f>$N29</f>
        <v>125.43679425094554</v>
      </c>
      <c r="Y54" s="109">
        <f>$N30</f>
        <v>453.66914382012965</v>
      </c>
      <c r="Z54" s="105">
        <f>N$38</f>
        <v>53.66914382012972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349.1844484597018</v>
      </c>
      <c r="Q55" s="103">
        <f>SQRT(POWER($X55-Q$29,2)+POWER($Y55-Q$30,2))-(Q$38+$Z55+$I$14)</f>
        <v>0</v>
      </c>
      <c r="R55" s="103">
        <f>SQRT(POWER($X55-R$29,2)+POWER($Y55-R$30,2))-(R$38+$Z55+$I$14)</f>
        <v>340.7687120410844</v>
      </c>
      <c r="S55" s="103">
        <f>SQRT(POWER($X55-S$29,2)+POWER($Y55-S$30,2))-(S$38+$Z55+$I$14)</f>
        <v>231.715953057656</v>
      </c>
      <c r="T55" s="103">
        <f>SQRT(POWER($X55-T$29,2)+POWER($Y55-T$30,2))-(T$38+$Z55+$I$14)</f>
        <v>228.55356093163596</v>
      </c>
      <c r="U55" s="102" t="s">
        <v>37</v>
      </c>
      <c r="V55" s="160" t="s">
        <v>37</v>
      </c>
      <c r="X55" s="108">
        <f>$O29</f>
        <v>375.58266144079084</v>
      </c>
      <c r="Y55" s="109">
        <f>$O30</f>
        <v>118.1914926400676</v>
      </c>
      <c r="Z55" s="105">
        <f>O$38</f>
        <v>51.47463978732575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389.5948301501061</v>
      </c>
      <c r="R56" s="103">
        <f>SQRT(POWER($X56-R$29,2)+POWER($Y56-R$30,2))-(R$38+$Z56+$I$14)</f>
        <v>-1.1735265275092388E-06</v>
      </c>
      <c r="S56" s="103">
        <f>SQRT(POWER($X56-S$29,2)+POWER($Y56-S$30,2))-(S$38+$Z56+$I$14)</f>
        <v>147.5557308585737</v>
      </c>
      <c r="T56" s="103">
        <f>SQRT(POWER($X56-T$29,2)+POWER($Y56-T$30,2))-(T$38+$Z56+$I$14)</f>
        <v>46.40528606052885</v>
      </c>
      <c r="U56" s="102" t="s">
        <v>37</v>
      </c>
      <c r="V56" s="160" t="s">
        <v>37</v>
      </c>
      <c r="X56" s="108">
        <f>$P29</f>
        <v>196.18812007711847</v>
      </c>
      <c r="Y56" s="109">
        <f>$P30</f>
        <v>541.6433509772664</v>
      </c>
      <c r="Z56" s="105">
        <f>P$38</f>
        <v>54.22554706960211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403.47706579153396</v>
      </c>
      <c r="S57" s="103">
        <f>SQRT(POWER($X57-S$29,2)+POWER($Y57-S$30,2))-(S$38+$Z57+$I$14)</f>
        <v>319.8851910646471</v>
      </c>
      <c r="T57" s="103">
        <f>SQRT(POWER($X57-T$29,2)+POWER($Y57-T$30,2))-(T$38+$Z57+$I$14)</f>
        <v>294.69789764894654</v>
      </c>
      <c r="U57" s="102" t="s">
        <v>37</v>
      </c>
      <c r="V57" s="160" t="s">
        <v>37</v>
      </c>
      <c r="X57" s="108">
        <f>$Q29</f>
        <v>291.6720985676257</v>
      </c>
      <c r="Y57" s="109">
        <f>$Q30</f>
        <v>51.013972506886105</v>
      </c>
      <c r="Z57" s="105">
        <f>Q$38</f>
        <v>51.013972506886105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3">
        <f>SQRT(POWER($X58-S$29,2)+POWER($Y58-S$30,2))-(S$38+$Z58+$I$14)</f>
        <v>60.8621698167935</v>
      </c>
      <c r="T58" s="103">
        <f>SQRT(POWER($X58-T$29,2)+POWER($Y58-T$30,2))-(T$38+$Z58+$I$14)</f>
        <v>-5.996838581268094E-10</v>
      </c>
      <c r="U58" s="102" t="s">
        <v>37</v>
      </c>
      <c r="V58" s="160" t="s">
        <v>37</v>
      </c>
      <c r="X58" s="108">
        <f>$R29</f>
        <v>307.4329863084562</v>
      </c>
      <c r="Y58" s="109">
        <f>$R30</f>
        <v>564.6332910053923</v>
      </c>
      <c r="Z58" s="105">
        <f>R$38</f>
        <v>54.37004206985313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3">
        <f>SQRT(POWER($X59-T$29,2)+POWER($Y59-T$30,2))-(T$38+$Z59+$I$14)</f>
        <v>0</v>
      </c>
      <c r="U59" s="102" t="s">
        <v>37</v>
      </c>
      <c r="V59" s="160" t="s">
        <v>37</v>
      </c>
      <c r="X59" s="108">
        <f>$S29</f>
        <v>441.3308561798703</v>
      </c>
      <c r="Y59" s="109">
        <f>$S30</f>
        <v>453.66914382012976</v>
      </c>
      <c r="Z59" s="105">
        <f>S$38</f>
        <v>53.66914382012972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328.99256853961083</v>
      </c>
      <c r="Y60" s="109">
        <f>$T30</f>
        <v>453.66914382012976</v>
      </c>
      <c r="Z60" s="105">
        <f>T$38</f>
        <v>53.66914382012972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5" ref="C67:T67">C$29+C$38+$I$14-$I$8</f>
        <v>-173.48975618129703</v>
      </c>
      <c r="D67" s="116">
        <f t="shared" si="15"/>
        <v>-70.02771088632153</v>
      </c>
      <c r="E67" s="116">
        <f t="shared" si="15"/>
        <v>-86.22512200998665</v>
      </c>
      <c r="F67" s="116">
        <f t="shared" si="15"/>
        <v>0</v>
      </c>
      <c r="G67" s="116">
        <f t="shared" si="15"/>
        <v>-88.19155815723741</v>
      </c>
      <c r="H67" s="116">
        <f t="shared" si="15"/>
        <v>0</v>
      </c>
      <c r="I67" s="116">
        <f t="shared" si="15"/>
        <v>-224.1802081870863</v>
      </c>
      <c r="J67" s="116">
        <f t="shared" si="15"/>
        <v>0</v>
      </c>
      <c r="K67" s="116">
        <f t="shared" si="15"/>
        <v>-40.41005414936427</v>
      </c>
      <c r="L67" s="116">
        <f t="shared" si="15"/>
        <v>0</v>
      </c>
      <c r="M67" s="116">
        <f t="shared" si="15"/>
        <v>-156.6442566492833</v>
      </c>
      <c r="N67" s="116">
        <f t="shared" si="15"/>
        <v>-315.89406192892477</v>
      </c>
      <c r="O67" s="116">
        <f t="shared" si="15"/>
        <v>-67.94269877188339</v>
      </c>
      <c r="P67" s="116">
        <f t="shared" si="15"/>
        <v>-244.58633285327943</v>
      </c>
      <c r="Q67" s="116">
        <f t="shared" si="15"/>
        <v>-152.3139289254882</v>
      </c>
      <c r="R67" s="116">
        <f t="shared" si="15"/>
        <v>-133.1969716216907</v>
      </c>
      <c r="S67" s="116">
        <f t="shared" si="15"/>
        <v>0</v>
      </c>
      <c r="T67" s="116">
        <f t="shared" si="15"/>
        <v>-112.33828764025947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6" ref="C71:T71">C$29-(C$38+$I$14)-$I$7</f>
        <v>253.28445499473253</v>
      </c>
      <c r="D71" s="116">
        <f t="shared" si="16"/>
        <v>354.9490898396273</v>
      </c>
      <c r="E71" s="116">
        <f t="shared" si="16"/>
        <v>342.0272521685439</v>
      </c>
      <c r="F71" s="116">
        <f t="shared" si="16"/>
        <v>427.05633017054276</v>
      </c>
      <c r="G71" s="116">
        <f t="shared" si="16"/>
        <v>337.6715354749455</v>
      </c>
      <c r="H71" s="116">
        <f t="shared" si="16"/>
        <v>424.97077320633446</v>
      </c>
      <c r="I71" s="116">
        <f t="shared" si="16"/>
        <v>178.6095709776427</v>
      </c>
      <c r="J71" s="116">
        <f t="shared" si="16"/>
        <v>408.11195521141155</v>
      </c>
      <c r="K71" s="116">
        <f t="shared" si="16"/>
        <v>361.01058375463475</v>
      </c>
      <c r="L71" s="116">
        <f t="shared" si="16"/>
        <v>406.0118187455299</v>
      </c>
      <c r="M71" s="116">
        <f t="shared" si="16"/>
        <v>249.08116871571107</v>
      </c>
      <c r="N71" s="116">
        <f t="shared" si="16"/>
        <v>66.76765043081582</v>
      </c>
      <c r="O71" s="116">
        <f t="shared" si="16"/>
        <v>319.1080216534651</v>
      </c>
      <c r="P71" s="116">
        <f t="shared" si="16"/>
        <v>136.96257300751637</v>
      </c>
      <c r="Q71" s="116">
        <f t="shared" si="16"/>
        <v>235.65812606073962</v>
      </c>
      <c r="R71" s="116">
        <f t="shared" si="16"/>
        <v>248.06294423860305</v>
      </c>
      <c r="S71" s="116">
        <f t="shared" si="16"/>
        <v>382.6617123597406</v>
      </c>
      <c r="T71" s="116">
        <f t="shared" si="16"/>
        <v>270.3234247194811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7" ref="C75:T75">C$30+C$38+$I$14-$I$10</f>
        <v>-824.7642404307051</v>
      </c>
      <c r="D75" s="122">
        <f t="shared" si="17"/>
        <v>-688.4721612363878</v>
      </c>
      <c r="E75" s="122">
        <f t="shared" si="17"/>
        <v>-933.2523741785305</v>
      </c>
      <c r="F75" s="122">
        <f t="shared" si="17"/>
        <v>-845.7499535090581</v>
      </c>
      <c r="G75" s="122">
        <f t="shared" si="17"/>
        <v>-756.2009711928846</v>
      </c>
      <c r="H75" s="122">
        <f t="shared" si="17"/>
        <v>-688.008382674061</v>
      </c>
      <c r="I75" s="122">
        <f t="shared" si="17"/>
        <v>-507.78977916472894</v>
      </c>
      <c r="J75" s="122">
        <f t="shared" si="17"/>
        <v>-913.1119552114116</v>
      </c>
      <c r="K75" s="122">
        <f t="shared" si="17"/>
        <v>-398.86979561450266</v>
      </c>
      <c r="L75" s="122">
        <f t="shared" si="17"/>
        <v>-757.4704884466939</v>
      </c>
      <c r="M75" s="122">
        <f t="shared" si="17"/>
        <v>-735.7437665182745</v>
      </c>
      <c r="N75" s="122">
        <f t="shared" si="17"/>
        <v>-487.6617123597407</v>
      </c>
      <c r="O75" s="122">
        <f t="shared" si="17"/>
        <v>-825.3338675726067</v>
      </c>
      <c r="P75" s="122">
        <f t="shared" si="17"/>
        <v>-399.1311019531314</v>
      </c>
      <c r="Q75" s="122">
        <f t="shared" si="17"/>
        <v>-892.9720549862278</v>
      </c>
      <c r="R75" s="122">
        <f t="shared" si="17"/>
        <v>-375.99666692475466</v>
      </c>
      <c r="S75" s="122">
        <f t="shared" si="17"/>
        <v>-487.6617123597405</v>
      </c>
      <c r="T75" s="122">
        <f t="shared" si="17"/>
        <v>-487.6617123597405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102.00997074532447</v>
      </c>
      <c r="D79" s="128">
        <f aca="true" t="shared" si="18" ref="D79:T79">D30-D38-J9</f>
        <v>241.504639489561</v>
      </c>
      <c r="E79" s="128">
        <f t="shared" si="18"/>
        <v>0</v>
      </c>
      <c r="F79" s="128">
        <f t="shared" si="18"/>
        <v>86.30637666148473</v>
      </c>
      <c r="G79" s="128">
        <f t="shared" si="18"/>
        <v>174.66212243929832</v>
      </c>
      <c r="H79" s="128">
        <f t="shared" si="18"/>
        <v>241.9623905322735</v>
      </c>
      <c r="I79" s="128">
        <f t="shared" si="18"/>
        <v>400.00000000000006</v>
      </c>
      <c r="J79" s="128">
        <f t="shared" si="18"/>
        <v>0</v>
      </c>
      <c r="K79" s="128">
        <f t="shared" si="18"/>
        <v>507.55084228949636</v>
      </c>
      <c r="L79" s="128">
        <f t="shared" si="18"/>
        <v>153.54133029883604</v>
      </c>
      <c r="M79" s="128">
        <f t="shared" si="18"/>
        <v>174.98165884671997</v>
      </c>
      <c r="N79" s="128">
        <f t="shared" si="18"/>
        <v>399.99999999999994</v>
      </c>
      <c r="O79" s="128">
        <f t="shared" si="18"/>
        <v>66.71685285274185</v>
      </c>
      <c r="P79" s="128">
        <f t="shared" si="18"/>
        <v>487.41780390766434</v>
      </c>
      <c r="Q79" s="128">
        <f t="shared" si="18"/>
        <v>0</v>
      </c>
      <c r="R79" s="128">
        <f t="shared" si="18"/>
        <v>510.26324893553914</v>
      </c>
      <c r="S79" s="128">
        <f t="shared" si="18"/>
        <v>400.00000000000006</v>
      </c>
      <c r="T79" s="128">
        <f t="shared" si="18"/>
        <v>400.00000000000006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9" ref="C84:T84">$E$7+($F$7-$E$7)*C$31</f>
        <v>4</v>
      </c>
      <c r="D84" s="34">
        <f t="shared" si="19"/>
        <v>4</v>
      </c>
      <c r="E84" s="34">
        <f t="shared" si="19"/>
        <v>4</v>
      </c>
      <c r="F84" s="34">
        <f t="shared" si="19"/>
        <v>4</v>
      </c>
      <c r="G84" s="34">
        <f t="shared" si="19"/>
        <v>4</v>
      </c>
      <c r="H84" s="34">
        <f t="shared" si="19"/>
        <v>4</v>
      </c>
      <c r="I84" s="34">
        <f t="shared" si="19"/>
        <v>8</v>
      </c>
      <c r="J84" s="34">
        <f t="shared" si="19"/>
        <v>4</v>
      </c>
      <c r="K84" s="34">
        <f t="shared" si="19"/>
        <v>4</v>
      </c>
      <c r="L84" s="34">
        <f t="shared" si="19"/>
        <v>4</v>
      </c>
      <c r="M84" s="34">
        <f t="shared" si="19"/>
        <v>4</v>
      </c>
      <c r="N84" s="34">
        <f t="shared" si="19"/>
        <v>8</v>
      </c>
      <c r="O84" s="34">
        <f t="shared" si="19"/>
        <v>4</v>
      </c>
      <c r="P84" s="34">
        <f t="shared" si="19"/>
        <v>8</v>
      </c>
      <c r="Q84" s="34">
        <f t="shared" si="19"/>
        <v>4</v>
      </c>
      <c r="R84" s="34">
        <f t="shared" si="19"/>
        <v>8</v>
      </c>
      <c r="S84" s="34">
        <f t="shared" si="19"/>
        <v>8</v>
      </c>
      <c r="T84" s="34">
        <f t="shared" si="19"/>
        <v>8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>$L$7+(($L$8-$L$7)/$I$10)*(C$30-C$38)</f>
        <v>5.070099707453245</v>
      </c>
      <c r="D85" s="8">
        <f aca="true" t="shared" si="20" ref="D85:T85">$L$7+(($L$8-$L$7)/$I$10)*(D$30-D$38)</f>
        <v>6.41504639489561</v>
      </c>
      <c r="E85" s="8">
        <f t="shared" si="20"/>
        <v>4</v>
      </c>
      <c r="F85" s="8">
        <f t="shared" si="20"/>
        <v>4.8630637666148475</v>
      </c>
      <c r="G85" s="8">
        <f t="shared" si="20"/>
        <v>5.7466212243929835</v>
      </c>
      <c r="H85" s="8">
        <f t="shared" si="20"/>
        <v>6.4196239053227355</v>
      </c>
      <c r="I85" s="8">
        <f t="shared" si="20"/>
        <v>8</v>
      </c>
      <c r="J85" s="8">
        <f t="shared" si="20"/>
        <v>4</v>
      </c>
      <c r="K85" s="8">
        <f t="shared" si="20"/>
        <v>9.075508422894963</v>
      </c>
      <c r="L85" s="8">
        <f t="shared" si="20"/>
        <v>5.535413302988361</v>
      </c>
      <c r="M85" s="8">
        <f t="shared" si="20"/>
        <v>5.7498165884671995</v>
      </c>
      <c r="N85" s="8">
        <f t="shared" si="20"/>
        <v>8</v>
      </c>
      <c r="O85" s="8">
        <f t="shared" si="20"/>
        <v>4.6671685285274185</v>
      </c>
      <c r="P85" s="8">
        <f t="shared" si="20"/>
        <v>8.874178039076643</v>
      </c>
      <c r="Q85" s="8">
        <f t="shared" si="20"/>
        <v>4</v>
      </c>
      <c r="R85" s="8">
        <f t="shared" si="20"/>
        <v>9.102632489355392</v>
      </c>
      <c r="S85" s="8">
        <f t="shared" si="20"/>
        <v>8</v>
      </c>
      <c r="T85" s="8">
        <f t="shared" si="20"/>
        <v>8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21" ref="C86:T86">C85-C84</f>
        <v>1.0700997074532452</v>
      </c>
      <c r="D86" s="133">
        <f t="shared" si="21"/>
        <v>2.41504639489561</v>
      </c>
      <c r="E86" s="133">
        <f t="shared" si="21"/>
        <v>0</v>
      </c>
      <c r="F86" s="133">
        <f t="shared" si="21"/>
        <v>0.8630637666148475</v>
      </c>
      <c r="G86" s="133">
        <f t="shared" si="21"/>
        <v>1.7466212243929835</v>
      </c>
      <c r="H86" s="133">
        <f t="shared" si="21"/>
        <v>2.4196239053227355</v>
      </c>
      <c r="I86" s="133">
        <f t="shared" si="21"/>
        <v>0</v>
      </c>
      <c r="J86" s="133">
        <f t="shared" si="21"/>
        <v>0</v>
      </c>
      <c r="K86" s="133">
        <f t="shared" si="21"/>
        <v>5.075508422894963</v>
      </c>
      <c r="L86" s="133">
        <f t="shared" si="21"/>
        <v>1.5354133029883608</v>
      </c>
      <c r="M86" s="133">
        <f t="shared" si="21"/>
        <v>1.7498165884671995</v>
      </c>
      <c r="N86" s="133">
        <f t="shared" si="21"/>
        <v>0</v>
      </c>
      <c r="O86" s="133">
        <f t="shared" si="21"/>
        <v>0.6671685285274185</v>
      </c>
      <c r="P86" s="133">
        <f t="shared" si="21"/>
        <v>0.8741780390766429</v>
      </c>
      <c r="Q86" s="133">
        <f t="shared" si="21"/>
        <v>0</v>
      </c>
      <c r="R86" s="133">
        <f t="shared" si="21"/>
        <v>1.1026324893553916</v>
      </c>
      <c r="S86" s="133">
        <f t="shared" si="21"/>
        <v>0</v>
      </c>
      <c r="T86" s="133">
        <f t="shared" si="21"/>
        <v>0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131">
        <v>0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SUM(C32:T32)*C21</f>
        <v>180</v>
      </c>
      <c r="D93" s="34"/>
      <c r="E93" s="132" t="s">
        <v>45</v>
      </c>
      <c r="F93" s="137">
        <f>SUM(C31:T31)*F22</f>
        <v>1200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SUM(C33:T33)*C22</f>
        <v>400</v>
      </c>
      <c r="D94" s="34"/>
      <c r="E94" s="129" t="s">
        <v>44</v>
      </c>
      <c r="F94" s="139">
        <f>(J16-SUM(C31:T31))*F21</f>
        <v>240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SUM(C34:T34)*C23</f>
        <v>1050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22" ref="C98:T98">$I$21-($I$24*(SQRT(POWER($I$8-C$29,2)+POWER(C$30-$I$9,2))))</f>
        <v>391.93331336222604</v>
      </c>
      <c r="D98" s="34">
        <f t="shared" si="22"/>
        <v>373.6225702365624</v>
      </c>
      <c r="E98" s="34">
        <f t="shared" si="22"/>
        <v>445.9300212661411</v>
      </c>
      <c r="F98" s="34">
        <f t="shared" si="22"/>
        <v>447.0659414781182</v>
      </c>
      <c r="G98" s="34">
        <f t="shared" si="22"/>
        <v>396.22439844189444</v>
      </c>
      <c r="H98" s="34">
        <f t="shared" si="22"/>
        <v>381.06458382220865</v>
      </c>
      <c r="I98" s="34">
        <f t="shared" si="22"/>
        <v>276.4220700379466</v>
      </c>
      <c r="J98" s="34">
        <f t="shared" si="22"/>
        <v>473.57900646695407</v>
      </c>
      <c r="K98" s="34">
        <f t="shared" si="22"/>
        <v>259.971583496605</v>
      </c>
      <c r="L98" s="34">
        <f t="shared" si="22"/>
        <v>413.6613066672975</v>
      </c>
      <c r="M98" s="34">
        <f t="shared" si="22"/>
        <v>372.15946012593207</v>
      </c>
      <c r="N98" s="34">
        <f t="shared" si="22"/>
        <v>247.42208907249753</v>
      </c>
      <c r="O98" s="34">
        <f t="shared" si="22"/>
        <v>426.32489013755173</v>
      </c>
      <c r="P98" s="34">
        <f t="shared" si="22"/>
        <v>233.37594614070946</v>
      </c>
      <c r="Q98" s="34">
        <f t="shared" si="22"/>
        <v>407.91709233792824</v>
      </c>
      <c r="R98" s="34">
        <f t="shared" si="22"/>
        <v>243.8786178700871</v>
      </c>
      <c r="S98" s="34">
        <f t="shared" si="22"/>
        <v>303.6065418255607</v>
      </c>
      <c r="T98" s="34">
        <f t="shared" si="22"/>
        <v>291.8507315652988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3" ref="C99:T99">$I$22-($I$25*SQRT(POWER($I$10-C$30,2)+POWER(C$29-$I$7,2)))</f>
        <v>53.67773170544382</v>
      </c>
      <c r="D99" s="34">
        <f t="shared" si="23"/>
        <v>67.1333866818328</v>
      </c>
      <c r="E99" s="34">
        <f t="shared" si="23"/>
        <v>32.531127858856166</v>
      </c>
      <c r="F99" s="34">
        <f t="shared" si="23"/>
        <v>39.553557698471224</v>
      </c>
      <c r="G99" s="34">
        <f t="shared" si="23"/>
        <v>58.752731380641535</v>
      </c>
      <c r="H99" s="34">
        <f t="shared" si="23"/>
        <v>61.47937695481437</v>
      </c>
      <c r="I99" s="34">
        <f t="shared" si="23"/>
        <v>103.24076138837921</v>
      </c>
      <c r="J99" s="34">
        <f t="shared" si="23"/>
        <v>29.16452722698375</v>
      </c>
      <c r="K99" s="34">
        <f t="shared" si="23"/>
        <v>102.17623825776279</v>
      </c>
      <c r="L99" s="34">
        <f t="shared" si="23"/>
        <v>51.360746346534285</v>
      </c>
      <c r="M99" s="34">
        <f t="shared" si="23"/>
        <v>65.23799043335435</v>
      </c>
      <c r="N99" s="34">
        <f t="shared" si="23"/>
        <v>109.75383833968618</v>
      </c>
      <c r="O99" s="34">
        <f t="shared" si="23"/>
        <v>45.690664010334075</v>
      </c>
      <c r="P99" s="34">
        <f t="shared" si="23"/>
        <v>119.73039770536855</v>
      </c>
      <c r="Q99" s="34">
        <f t="shared" si="23"/>
        <v>40.16266812010625</v>
      </c>
      <c r="R99" s="34">
        <f t="shared" si="23"/>
        <v>114.19315420862452</v>
      </c>
      <c r="S99" s="34">
        <f t="shared" si="23"/>
        <v>86.92901111038509</v>
      </c>
      <c r="T99" s="34">
        <f t="shared" si="23"/>
        <v>97.32568822915806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6" ht="12.75">
      <c r="B102" t="s">
        <v>57</v>
      </c>
      <c r="C102" s="50">
        <f>SUM(C93:C95)+SUM(F93:F94)+W98*SUM(C98:T98)+W99*SUM(C99:T99)</f>
        <v>6902.0518810041285</v>
      </c>
      <c r="D102" s="36"/>
      <c r="E102" s="36"/>
      <c r="F102" s="36"/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05"/>
  <sheetViews>
    <sheetView workbookViewId="0" topLeftCell="A1">
      <selection activeCell="L17" sqref="L17"/>
    </sheetView>
  </sheetViews>
  <sheetFormatPr defaultColWidth="9.140625" defaultRowHeight="12.75"/>
  <cols>
    <col min="1" max="1" width="12.00390625" style="0" customWidth="1"/>
    <col min="2" max="2" width="14.00390625" style="0" customWidth="1"/>
    <col min="3" max="3" width="17.421875" style="0" bestFit="1" customWidth="1"/>
    <col min="13" max="22" width="4.7109375" style="0" customWidth="1"/>
    <col min="23" max="23" width="11.8515625" style="0" customWidth="1"/>
    <col min="24" max="26" width="6.7109375" style="0" customWidth="1"/>
  </cols>
  <sheetData>
    <row r="2" ht="12.75">
      <c r="A2" s="6" t="s">
        <v>30</v>
      </c>
    </row>
    <row r="4" spans="2:9" ht="12.75">
      <c r="B4" s="6" t="s">
        <v>20</v>
      </c>
      <c r="H4" s="6" t="s">
        <v>27</v>
      </c>
      <c r="I4" s="6"/>
    </row>
    <row r="5" ht="13.5" thickBot="1"/>
    <row r="6" spans="2:12" ht="13.5" thickBot="1">
      <c r="B6" s="6" t="s">
        <v>72</v>
      </c>
      <c r="E6" s="93" t="s">
        <v>44</v>
      </c>
      <c r="F6" s="94" t="s">
        <v>45</v>
      </c>
      <c r="H6" s="71" t="s">
        <v>18</v>
      </c>
      <c r="I6" s="24" t="s">
        <v>81</v>
      </c>
      <c r="K6" s="48" t="s">
        <v>19</v>
      </c>
      <c r="L6" s="8"/>
    </row>
    <row r="7" spans="2:12" ht="13.5" thickBot="1">
      <c r="B7" s="59" t="s">
        <v>73</v>
      </c>
      <c r="C7" s="60"/>
      <c r="D7" s="61"/>
      <c r="E7" s="14">
        <v>4</v>
      </c>
      <c r="F7" s="15">
        <v>8</v>
      </c>
      <c r="H7" s="69" t="s">
        <v>11</v>
      </c>
      <c r="I7" s="70">
        <v>0</v>
      </c>
      <c r="K7" s="63" t="s">
        <v>16</v>
      </c>
      <c r="L7" s="63">
        <v>12</v>
      </c>
    </row>
    <row r="8" spans="2:12" ht="13.5" thickBot="1">
      <c r="B8" s="62" t="s">
        <v>74</v>
      </c>
      <c r="E8" s="38" t="s">
        <v>82</v>
      </c>
      <c r="F8" s="38" t="s">
        <v>66</v>
      </c>
      <c r="H8" s="41" t="s">
        <v>12</v>
      </c>
      <c r="I8" s="11">
        <v>550</v>
      </c>
      <c r="K8" s="56" t="s">
        <v>17</v>
      </c>
      <c r="L8" s="57">
        <v>12</v>
      </c>
    </row>
    <row r="9" spans="2:9" ht="12.75">
      <c r="B9" s="3" t="s">
        <v>21</v>
      </c>
      <c r="C9" s="4"/>
      <c r="D9" s="13"/>
      <c r="E9" s="63" t="s">
        <v>24</v>
      </c>
      <c r="F9" s="63">
        <v>20</v>
      </c>
      <c r="H9" s="41" t="s">
        <v>13</v>
      </c>
      <c r="I9" s="11">
        <v>0</v>
      </c>
    </row>
    <row r="10" spans="2:9" ht="12.75">
      <c r="B10" s="10" t="s">
        <v>22</v>
      </c>
      <c r="C10" s="1"/>
      <c r="D10" s="16"/>
      <c r="E10" s="19" t="s">
        <v>25</v>
      </c>
      <c r="F10" s="19">
        <v>30</v>
      </c>
      <c r="H10" s="41" t="s">
        <v>14</v>
      </c>
      <c r="I10" s="11">
        <v>550</v>
      </c>
    </row>
    <row r="11" spans="2:9" ht="13.5" thickBot="1">
      <c r="B11" s="12" t="s">
        <v>23</v>
      </c>
      <c r="C11" s="5"/>
      <c r="D11" s="17"/>
      <c r="E11" s="20" t="s">
        <v>26</v>
      </c>
      <c r="F11" s="57">
        <v>40</v>
      </c>
      <c r="H11" s="42" t="s">
        <v>56</v>
      </c>
      <c r="I11" s="53">
        <f>SQRT(POWER(I8-I7,2)+POWER(I10-I9,2))</f>
        <v>777.8174593052023</v>
      </c>
    </row>
    <row r="13" spans="2:9" ht="13.5" thickBot="1">
      <c r="B13" s="6" t="s">
        <v>65</v>
      </c>
      <c r="H13" s="39" t="s">
        <v>64</v>
      </c>
      <c r="I13" s="7"/>
    </row>
    <row r="14" spans="8:9" ht="13.5" thickBot="1">
      <c r="H14" s="75" t="s">
        <v>34</v>
      </c>
      <c r="I14" s="15">
        <v>5</v>
      </c>
    </row>
    <row r="15" spans="2:9" ht="12.75">
      <c r="B15" s="177" t="s">
        <v>28</v>
      </c>
      <c r="C15" s="178"/>
      <c r="D15" s="72">
        <f>PI()/6</f>
        <v>0.5235987755982988</v>
      </c>
      <c r="E15" t="s">
        <v>75</v>
      </c>
      <c r="H15" s="7"/>
      <c r="I15" s="7"/>
    </row>
    <row r="16" spans="2:10" ht="13.5" thickBot="1">
      <c r="B16" s="179" t="s">
        <v>29</v>
      </c>
      <c r="C16" s="180"/>
      <c r="D16" s="73">
        <v>2</v>
      </c>
      <c r="E16" t="s">
        <v>15</v>
      </c>
      <c r="H16" s="39" t="s">
        <v>51</v>
      </c>
      <c r="I16" s="7"/>
      <c r="J16">
        <v>16</v>
      </c>
    </row>
    <row r="17" spans="2:9" ht="12.75">
      <c r="B17" s="7"/>
      <c r="C17" s="7"/>
      <c r="D17" s="7"/>
      <c r="H17" s="7"/>
      <c r="I17" s="7"/>
    </row>
    <row r="18" spans="2:9" ht="12.75">
      <c r="B18" s="39" t="s">
        <v>42</v>
      </c>
      <c r="C18" s="7"/>
      <c r="D18" s="7"/>
      <c r="H18" s="7"/>
      <c r="I18" s="7"/>
    </row>
    <row r="19" spans="2:4" ht="13.5" thickBot="1">
      <c r="B19" s="7"/>
      <c r="C19" s="7"/>
      <c r="D19" s="7"/>
    </row>
    <row r="20" spans="2:10" ht="13.5" thickBot="1">
      <c r="B20" s="47" t="s">
        <v>40</v>
      </c>
      <c r="C20" s="15" t="s">
        <v>41</v>
      </c>
      <c r="D20" s="7"/>
      <c r="E20" s="47" t="s">
        <v>19</v>
      </c>
      <c r="F20" s="94" t="s">
        <v>80</v>
      </c>
      <c r="H20" s="90" t="s">
        <v>69</v>
      </c>
      <c r="I20" s="93" t="s">
        <v>54</v>
      </c>
      <c r="J20" s="94" t="s">
        <v>55</v>
      </c>
    </row>
    <row r="21" spans="2:13" ht="12.75">
      <c r="B21" s="18" t="s">
        <v>0</v>
      </c>
      <c r="C21" s="44">
        <v>30</v>
      </c>
      <c r="D21" s="7"/>
      <c r="E21" s="30" t="s">
        <v>44</v>
      </c>
      <c r="F21" s="44">
        <v>20</v>
      </c>
      <c r="H21" s="43" t="s">
        <v>70</v>
      </c>
      <c r="I21" s="54">
        <v>500</v>
      </c>
      <c r="J21" s="91">
        <v>20</v>
      </c>
      <c r="L21" s="76"/>
      <c r="M21" t="s">
        <v>63</v>
      </c>
    </row>
    <row r="22" spans="2:13" ht="13.5" thickBot="1">
      <c r="B22" s="19" t="s">
        <v>1</v>
      </c>
      <c r="C22" s="45">
        <v>80</v>
      </c>
      <c r="D22" s="7"/>
      <c r="E22" s="32" t="s">
        <v>45</v>
      </c>
      <c r="F22" s="46">
        <v>200</v>
      </c>
      <c r="H22" s="32" t="s">
        <v>71</v>
      </c>
      <c r="I22" s="55">
        <v>200</v>
      </c>
      <c r="J22" s="92">
        <v>20</v>
      </c>
      <c r="L22" s="77"/>
      <c r="M22" t="s">
        <v>3</v>
      </c>
    </row>
    <row r="23" spans="2:9" ht="13.5" thickBot="1">
      <c r="B23" s="20" t="s">
        <v>2</v>
      </c>
      <c r="C23" s="46">
        <v>150</v>
      </c>
      <c r="D23" s="7"/>
      <c r="H23" s="7"/>
      <c r="I23" s="7"/>
    </row>
    <row r="24" spans="8:10" ht="12.75">
      <c r="H24" s="43" t="s">
        <v>53</v>
      </c>
      <c r="I24" s="74">
        <f>(I21-J21)/I11</f>
        <v>0.617111372671896</v>
      </c>
      <c r="J24" s="58" t="s">
        <v>67</v>
      </c>
    </row>
    <row r="25" spans="8:10" ht="13.5" thickBot="1">
      <c r="H25" s="49" t="s">
        <v>68</v>
      </c>
      <c r="I25" s="52">
        <f>(I22-J22)/I11</f>
        <v>0.231416764751961</v>
      </c>
      <c r="J25" s="58" t="s">
        <v>79</v>
      </c>
    </row>
    <row r="26" ht="12.75">
      <c r="A26" s="6" t="s">
        <v>43</v>
      </c>
    </row>
    <row r="27" ht="13.5" thickBot="1">
      <c r="A27" s="6"/>
    </row>
    <row r="28" spans="1:22" ht="13.5" thickBot="1">
      <c r="A28" s="6"/>
      <c r="B28" s="65" t="s">
        <v>4</v>
      </c>
      <c r="C28" s="66">
        <v>1</v>
      </c>
      <c r="D28" s="67">
        <v>2</v>
      </c>
      <c r="E28" s="67">
        <v>3</v>
      </c>
      <c r="F28" s="67">
        <v>4</v>
      </c>
      <c r="G28" s="67">
        <v>5</v>
      </c>
      <c r="H28" s="67">
        <v>6</v>
      </c>
      <c r="I28" s="67">
        <v>7</v>
      </c>
      <c r="J28" s="67">
        <v>8</v>
      </c>
      <c r="K28" s="67">
        <v>9</v>
      </c>
      <c r="L28" s="67">
        <v>10</v>
      </c>
      <c r="M28" s="67">
        <v>11</v>
      </c>
      <c r="N28" s="67">
        <v>12</v>
      </c>
      <c r="O28" s="67">
        <v>13</v>
      </c>
      <c r="P28" s="67">
        <v>14</v>
      </c>
      <c r="Q28" s="67">
        <v>15</v>
      </c>
      <c r="R28" s="67">
        <v>16</v>
      </c>
      <c r="S28" s="67">
        <v>17</v>
      </c>
      <c r="T28" s="67">
        <v>18</v>
      </c>
      <c r="U28" s="67">
        <v>19</v>
      </c>
      <c r="V28" s="68">
        <v>20</v>
      </c>
    </row>
    <row r="29" spans="1:22" ht="12.75">
      <c r="A29" s="6"/>
      <c r="B29" s="30" t="s">
        <v>5</v>
      </c>
      <c r="C29" s="95">
        <f>550-(60.8320512061813*1)</f>
        <v>489.1679487938187</v>
      </c>
      <c r="D29" s="96">
        <f>C29-($I$14+(2*D38))</f>
        <v>372.5038463814561</v>
      </c>
      <c r="E29" s="96">
        <f>D29</f>
        <v>372.5038463814561</v>
      </c>
      <c r="F29" s="96">
        <f>C29</f>
        <v>489.1679487938187</v>
      </c>
      <c r="G29" s="96">
        <f>E29-(I14+2*E38)</f>
        <v>255.83974396909355</v>
      </c>
      <c r="H29" s="96">
        <f>G29</f>
        <v>255.83974396909355</v>
      </c>
      <c r="I29" s="96">
        <f>C29</f>
        <v>489.1679487938187</v>
      </c>
      <c r="J29" s="96">
        <f>D29</f>
        <v>372.5038463814561</v>
      </c>
      <c r="K29" s="96">
        <f>H29</f>
        <v>255.83974396909355</v>
      </c>
      <c r="L29" s="96">
        <f>F29</f>
        <v>489.1679487938187</v>
      </c>
      <c r="M29" s="96">
        <f>J29</f>
        <v>372.5038463814561</v>
      </c>
      <c r="N29" s="96">
        <f>K29</f>
        <v>255.83974396909355</v>
      </c>
      <c r="O29" s="96">
        <f>K29-(2*N38+I14)</f>
        <v>139.175641556731</v>
      </c>
      <c r="P29" s="96">
        <f>O29</f>
        <v>139.175641556731</v>
      </c>
      <c r="Q29" s="96">
        <f>P29</f>
        <v>139.175641556731</v>
      </c>
      <c r="R29" s="96">
        <f>P29</f>
        <v>139.175641556731</v>
      </c>
      <c r="S29" s="96">
        <v>0</v>
      </c>
      <c r="T29" s="96">
        <v>0</v>
      </c>
      <c r="U29" s="96">
        <v>0</v>
      </c>
      <c r="V29" s="97">
        <v>0</v>
      </c>
    </row>
    <row r="30" spans="1:24" ht="12.75">
      <c r="A30" s="6"/>
      <c r="B30" s="31" t="s">
        <v>6</v>
      </c>
      <c r="C30" s="98">
        <v>60.8320512061813</v>
      </c>
      <c r="D30" s="99">
        <f>C30</f>
        <v>60.8320512061813</v>
      </c>
      <c r="E30" s="99">
        <f>C30+$I$14+(2*E38)</f>
        <v>177.49615361854387</v>
      </c>
      <c r="F30" s="99">
        <f>E30</f>
        <v>177.49615361854387</v>
      </c>
      <c r="G30" s="99">
        <f>D30</f>
        <v>60.8320512061813</v>
      </c>
      <c r="H30" s="99">
        <f>F30</f>
        <v>177.49615361854387</v>
      </c>
      <c r="I30" s="99">
        <f>H30+($I$14+2*I38)</f>
        <v>294.16025603090645</v>
      </c>
      <c r="J30" s="99">
        <f>I30</f>
        <v>294.16025603090645</v>
      </c>
      <c r="K30" s="99">
        <f>J30</f>
        <v>294.16025603090645</v>
      </c>
      <c r="L30" s="99">
        <f>K30+I14+2*L38</f>
        <v>410.82435844326903</v>
      </c>
      <c r="M30" s="99">
        <f>L30</f>
        <v>410.82435844326903</v>
      </c>
      <c r="N30" s="99">
        <f>M30</f>
        <v>410.82435844326903</v>
      </c>
      <c r="O30" s="99">
        <f>C30</f>
        <v>60.8320512061813</v>
      </c>
      <c r="P30" s="99">
        <f>E30</f>
        <v>177.49615361854387</v>
      </c>
      <c r="Q30" s="99">
        <v>294</v>
      </c>
      <c r="R30" s="99">
        <f>M30</f>
        <v>410.82435844326903</v>
      </c>
      <c r="S30" s="99">
        <v>0</v>
      </c>
      <c r="T30" s="99">
        <v>0</v>
      </c>
      <c r="U30" s="99">
        <v>0</v>
      </c>
      <c r="V30" s="100">
        <v>0</v>
      </c>
      <c r="X30" s="140"/>
    </row>
    <row r="31" spans="1:22" ht="12.75">
      <c r="A31" s="6"/>
      <c r="B31" s="31" t="s">
        <v>31</v>
      </c>
      <c r="C31" s="2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1</v>
      </c>
      <c r="O31" s="9">
        <v>0</v>
      </c>
      <c r="P31" s="9">
        <v>1</v>
      </c>
      <c r="Q31" s="9">
        <v>0</v>
      </c>
      <c r="R31" s="9">
        <v>1</v>
      </c>
      <c r="S31" s="143" t="s">
        <v>37</v>
      </c>
      <c r="T31" s="143" t="s">
        <v>37</v>
      </c>
      <c r="U31" s="143" t="s">
        <v>37</v>
      </c>
      <c r="V31" s="145" t="s">
        <v>37</v>
      </c>
    </row>
    <row r="32" spans="1:22" ht="12.75">
      <c r="A32" s="6"/>
      <c r="B32" s="31" t="s">
        <v>7</v>
      </c>
      <c r="C32" s="26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143" t="s">
        <v>37</v>
      </c>
      <c r="T32" s="143" t="s">
        <v>37</v>
      </c>
      <c r="U32" s="143" t="s">
        <v>37</v>
      </c>
      <c r="V32" s="145" t="s">
        <v>37</v>
      </c>
    </row>
    <row r="33" spans="1:22" ht="12.75">
      <c r="A33" s="6"/>
      <c r="B33" s="31" t="s">
        <v>8</v>
      </c>
      <c r="C33" s="2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143" t="s">
        <v>37</v>
      </c>
      <c r="T33" s="143" t="s">
        <v>37</v>
      </c>
      <c r="U33" s="143" t="s">
        <v>37</v>
      </c>
      <c r="V33" s="145" t="s">
        <v>37</v>
      </c>
    </row>
    <row r="34" spans="1:22" ht="13.5" thickBot="1">
      <c r="A34" s="6"/>
      <c r="B34" s="32" t="s">
        <v>9</v>
      </c>
      <c r="C34" s="28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1</v>
      </c>
      <c r="P34" s="29">
        <v>1</v>
      </c>
      <c r="Q34" s="29">
        <v>1</v>
      </c>
      <c r="R34" s="29">
        <v>1</v>
      </c>
      <c r="S34" s="144" t="s">
        <v>37</v>
      </c>
      <c r="T34" s="144" t="s">
        <v>37</v>
      </c>
      <c r="U34" s="144" t="s">
        <v>37</v>
      </c>
      <c r="V34" s="146" t="s">
        <v>37</v>
      </c>
    </row>
    <row r="35" ht="13.5" thickBot="1">
      <c r="A35" s="6"/>
    </row>
    <row r="36" spans="1:22" ht="12.75">
      <c r="A36" s="6"/>
      <c r="B36" s="88" t="s">
        <v>19</v>
      </c>
      <c r="C36" s="87">
        <f aca="true" t="shared" si="0" ref="C36:R36">$L$7+(($L$8-$L$7)/$I$10)*C30</f>
        <v>12</v>
      </c>
      <c r="D36" s="87">
        <f t="shared" si="0"/>
        <v>12</v>
      </c>
      <c r="E36" s="87">
        <f t="shared" si="0"/>
        <v>12</v>
      </c>
      <c r="F36" s="87">
        <f t="shared" si="0"/>
        <v>12</v>
      </c>
      <c r="G36" s="87">
        <f t="shared" si="0"/>
        <v>12</v>
      </c>
      <c r="H36" s="87">
        <f t="shared" si="0"/>
        <v>12</v>
      </c>
      <c r="I36" s="87">
        <f t="shared" si="0"/>
        <v>12</v>
      </c>
      <c r="J36" s="87">
        <f t="shared" si="0"/>
        <v>12</v>
      </c>
      <c r="K36" s="87">
        <f t="shared" si="0"/>
        <v>12</v>
      </c>
      <c r="L36" s="87">
        <f t="shared" si="0"/>
        <v>12</v>
      </c>
      <c r="M36" s="87">
        <f t="shared" si="0"/>
        <v>12</v>
      </c>
      <c r="N36" s="87">
        <f t="shared" si="0"/>
        <v>12</v>
      </c>
      <c r="O36" s="87">
        <f t="shared" si="0"/>
        <v>12</v>
      </c>
      <c r="P36" s="87">
        <f t="shared" si="0"/>
        <v>12</v>
      </c>
      <c r="Q36" s="87">
        <f t="shared" si="0"/>
        <v>12</v>
      </c>
      <c r="R36" s="87">
        <f t="shared" si="0"/>
        <v>12</v>
      </c>
      <c r="S36" s="147" t="s">
        <v>37</v>
      </c>
      <c r="T36" s="147" t="s">
        <v>37</v>
      </c>
      <c r="U36" s="150" t="s">
        <v>37</v>
      </c>
      <c r="V36" s="151" t="s">
        <v>37</v>
      </c>
    </row>
    <row r="37" spans="1:22" ht="12.75">
      <c r="A37" s="6"/>
      <c r="B37" s="89" t="s">
        <v>32</v>
      </c>
      <c r="C37" s="104">
        <f aca="true" t="shared" si="1" ref="C37:R37">(C36+$D$16)/COS($D$15)</f>
        <v>16.16580753730952</v>
      </c>
      <c r="D37" s="104">
        <f t="shared" si="1"/>
        <v>16.16580753730952</v>
      </c>
      <c r="E37" s="104">
        <f t="shared" si="1"/>
        <v>16.16580753730952</v>
      </c>
      <c r="F37" s="104">
        <f t="shared" si="1"/>
        <v>16.16580753730952</v>
      </c>
      <c r="G37" s="104">
        <f t="shared" si="1"/>
        <v>16.16580753730952</v>
      </c>
      <c r="H37" s="104">
        <f t="shared" si="1"/>
        <v>16.16580753730952</v>
      </c>
      <c r="I37" s="104">
        <f t="shared" si="1"/>
        <v>16.16580753730952</v>
      </c>
      <c r="J37" s="104">
        <f t="shared" si="1"/>
        <v>16.16580753730952</v>
      </c>
      <c r="K37" s="104">
        <f t="shared" si="1"/>
        <v>16.16580753730952</v>
      </c>
      <c r="L37" s="104">
        <f t="shared" si="1"/>
        <v>16.16580753730952</v>
      </c>
      <c r="M37" s="104">
        <f t="shared" si="1"/>
        <v>16.16580753730952</v>
      </c>
      <c r="N37" s="104">
        <f t="shared" si="1"/>
        <v>16.16580753730952</v>
      </c>
      <c r="O37" s="104">
        <f t="shared" si="1"/>
        <v>16.16580753730952</v>
      </c>
      <c r="P37" s="104">
        <f t="shared" si="1"/>
        <v>16.16580753730952</v>
      </c>
      <c r="Q37" s="104">
        <f t="shared" si="1"/>
        <v>16.16580753730952</v>
      </c>
      <c r="R37" s="104">
        <f t="shared" si="1"/>
        <v>16.16580753730952</v>
      </c>
      <c r="S37" s="148" t="s">
        <v>37</v>
      </c>
      <c r="T37" s="148" t="s">
        <v>37</v>
      </c>
      <c r="U37" s="153" t="s">
        <v>37</v>
      </c>
      <c r="V37" s="154" t="s">
        <v>37</v>
      </c>
    </row>
    <row r="38" spans="1:22" ht="13.5" thickBot="1">
      <c r="A38" s="6"/>
      <c r="B38" s="49" t="s">
        <v>33</v>
      </c>
      <c r="C38" s="106">
        <v>55.8320512061813</v>
      </c>
      <c r="D38" s="106">
        <v>55.83205120618128</v>
      </c>
      <c r="E38" s="106">
        <v>55.83205120618128</v>
      </c>
      <c r="F38" s="106">
        <v>55.83205120618128</v>
      </c>
      <c r="G38" s="106">
        <v>55.83205120618128</v>
      </c>
      <c r="H38" s="106">
        <v>55.8320512061813</v>
      </c>
      <c r="I38" s="106">
        <v>55.83205120618128</v>
      </c>
      <c r="J38" s="106">
        <v>55.83205120618128</v>
      </c>
      <c r="K38" s="106">
        <v>55.83205120618128</v>
      </c>
      <c r="L38" s="106">
        <v>55.83205120618128</v>
      </c>
      <c r="M38" s="106">
        <v>55.83205120618128</v>
      </c>
      <c r="N38" s="106">
        <f>N36*TAN(ACOS(N36/N37))+SUMPRODUCT($F$9:$F$11,N32:N34)+$I$14</f>
        <v>55.832051206181276</v>
      </c>
      <c r="O38" s="106">
        <f>O36*TAN(ACOS(O36/O37))+SUMPRODUCT($F$9:$F$11,O32:O34)+$I$14</f>
        <v>55.832051206181276</v>
      </c>
      <c r="P38" s="106">
        <f>P36*TAN(ACOS(P36/P37))+SUMPRODUCT($F$9:$F$11,P32:P34)+$I$14</f>
        <v>55.832051206181276</v>
      </c>
      <c r="Q38" s="106">
        <f>Q36*TAN(ACOS(Q36/Q37))+SUMPRODUCT($F$9:$F$11,Q32:Q34)+$I$14</f>
        <v>55.832051206181276</v>
      </c>
      <c r="R38" s="106">
        <f>R36*TAN(ACOS(R36/R37))+SUMPRODUCT($F$9:$F$11,R32:R34)+$I$14</f>
        <v>55.832051206181276</v>
      </c>
      <c r="S38" s="149" t="s">
        <v>37</v>
      </c>
      <c r="T38" s="149" t="s">
        <v>37</v>
      </c>
      <c r="U38" s="156" t="s">
        <v>37</v>
      </c>
      <c r="V38" s="157" t="s">
        <v>37</v>
      </c>
    </row>
    <row r="39" ht="12.75">
      <c r="A39" s="6"/>
    </row>
    <row r="40" spans="1:11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 thickBot="1">
      <c r="A41" s="6" t="s">
        <v>10</v>
      </c>
      <c r="B41" s="40" t="s">
        <v>77</v>
      </c>
      <c r="C41" s="21"/>
      <c r="D41" s="21"/>
      <c r="E41" s="21"/>
      <c r="F41" s="21"/>
      <c r="G41" s="21"/>
      <c r="H41" s="21"/>
      <c r="I41" s="21"/>
      <c r="J41" s="21"/>
      <c r="K41" s="21"/>
    </row>
    <row r="42" spans="2:26" ht="13.5" thickBot="1">
      <c r="B42" s="83" t="s">
        <v>36</v>
      </c>
      <c r="C42" s="66">
        <v>1</v>
      </c>
      <c r="D42" s="67">
        <v>2</v>
      </c>
      <c r="E42" s="67">
        <v>3</v>
      </c>
      <c r="F42" s="67">
        <v>4</v>
      </c>
      <c r="G42" s="67">
        <v>5</v>
      </c>
      <c r="H42" s="67">
        <v>6</v>
      </c>
      <c r="I42" s="67">
        <v>7</v>
      </c>
      <c r="J42" s="67">
        <v>8</v>
      </c>
      <c r="K42" s="67">
        <v>9</v>
      </c>
      <c r="L42" s="67">
        <v>10</v>
      </c>
      <c r="M42" s="67">
        <v>11</v>
      </c>
      <c r="N42" s="67">
        <v>12</v>
      </c>
      <c r="O42" s="67">
        <v>13</v>
      </c>
      <c r="P42" s="67">
        <v>14</v>
      </c>
      <c r="Q42" s="67">
        <v>15</v>
      </c>
      <c r="R42" s="67">
        <v>16</v>
      </c>
      <c r="S42" s="67">
        <v>17</v>
      </c>
      <c r="T42" s="67">
        <v>18</v>
      </c>
      <c r="U42" s="67">
        <v>19</v>
      </c>
      <c r="V42" s="68">
        <v>20</v>
      </c>
      <c r="X42" s="112" t="s">
        <v>5</v>
      </c>
      <c r="Y42" s="113" t="s">
        <v>6</v>
      </c>
      <c r="Z42" s="114" t="s">
        <v>33</v>
      </c>
    </row>
    <row r="43" spans="1:26" ht="12.75">
      <c r="A43" s="6"/>
      <c r="B43" s="84">
        <v>1</v>
      </c>
      <c r="C43" s="80" t="s">
        <v>37</v>
      </c>
      <c r="D43" s="101">
        <f aca="true" t="shared" si="2" ref="D43:R43">SQRT(POWER($X43-D$29,2)+POWER($Y43-D$30,2))-(D$38+$Z43+$I$14)</f>
        <v>0</v>
      </c>
      <c r="E43" s="101">
        <f t="shared" si="2"/>
        <v>48.3238534612843</v>
      </c>
      <c r="F43" s="101">
        <f t="shared" si="2"/>
        <v>0</v>
      </c>
      <c r="G43" s="101">
        <f t="shared" si="2"/>
        <v>116.66410241236258</v>
      </c>
      <c r="H43" s="101">
        <f t="shared" si="2"/>
        <v>144.20476111567734</v>
      </c>
      <c r="I43" s="101">
        <f t="shared" si="2"/>
        <v>116.66410241236258</v>
      </c>
      <c r="J43" s="101">
        <f t="shared" si="2"/>
        <v>144.20476111567734</v>
      </c>
      <c r="K43" s="101">
        <f t="shared" si="2"/>
        <v>213.31180933493118</v>
      </c>
      <c r="L43" s="101">
        <f t="shared" si="2"/>
        <v>233.32820482472516</v>
      </c>
      <c r="M43" s="101">
        <f t="shared" si="2"/>
        <v>252.26018238984756</v>
      </c>
      <c r="N43" s="101">
        <f t="shared" si="2"/>
        <v>303.9743008413928</v>
      </c>
      <c r="O43" s="101">
        <f t="shared" si="2"/>
        <v>233.32820482472516</v>
      </c>
      <c r="P43" s="101">
        <f t="shared" si="2"/>
        <v>252.26018238984756</v>
      </c>
      <c r="Q43" s="101">
        <f t="shared" si="2"/>
        <v>303.8854279284248</v>
      </c>
      <c r="R43" s="101">
        <f t="shared" si="2"/>
        <v>378.29976520857804</v>
      </c>
      <c r="S43" s="158" t="s">
        <v>37</v>
      </c>
      <c r="T43" s="158" t="s">
        <v>37</v>
      </c>
      <c r="U43" s="158" t="s">
        <v>37</v>
      </c>
      <c r="V43" s="159" t="s">
        <v>37</v>
      </c>
      <c r="X43" s="108">
        <f>$C29</f>
        <v>489.1679487938187</v>
      </c>
      <c r="Y43" s="109">
        <f>$C30</f>
        <v>60.8320512061813</v>
      </c>
      <c r="Z43" s="105">
        <f>C$38</f>
        <v>55.8320512061813</v>
      </c>
    </row>
    <row r="44" spans="1:26" ht="12.75">
      <c r="A44" s="6"/>
      <c r="B44" s="85">
        <v>2</v>
      </c>
      <c r="C44" s="81" t="s">
        <v>37</v>
      </c>
      <c r="D44" s="102" t="s">
        <v>37</v>
      </c>
      <c r="E44" s="103">
        <f aca="true" t="shared" si="3" ref="E44:R44">SQRT(POWER($X44-E$29,2)+POWER($Y44-E$30,2))-(E$38+$Z44+$I$14)</f>
        <v>0</v>
      </c>
      <c r="F44" s="103">
        <f t="shared" si="3"/>
        <v>48.323853461284315</v>
      </c>
      <c r="G44" s="103">
        <f t="shared" si="3"/>
        <v>0</v>
      </c>
      <c r="H44" s="103">
        <f t="shared" si="3"/>
        <v>48.3238534612843</v>
      </c>
      <c r="I44" s="103">
        <f t="shared" si="3"/>
        <v>144.20476111567734</v>
      </c>
      <c r="J44" s="103">
        <f t="shared" si="3"/>
        <v>116.6641024123626</v>
      </c>
      <c r="K44" s="103">
        <f t="shared" si="3"/>
        <v>144.20476111567734</v>
      </c>
      <c r="L44" s="103">
        <f t="shared" si="3"/>
        <v>252.26018238984756</v>
      </c>
      <c r="M44" s="103">
        <f t="shared" si="3"/>
        <v>233.32820482472516</v>
      </c>
      <c r="N44" s="103">
        <f t="shared" si="3"/>
        <v>252.26018238984759</v>
      </c>
      <c r="O44" s="103">
        <f t="shared" si="3"/>
        <v>116.66410241236258</v>
      </c>
      <c r="P44" s="103">
        <f t="shared" si="3"/>
        <v>144.20476111567737</v>
      </c>
      <c r="Q44" s="103">
        <f t="shared" si="3"/>
        <v>213.1985106729123</v>
      </c>
      <c r="R44" s="103">
        <f t="shared" si="3"/>
        <v>303.97430084139285</v>
      </c>
      <c r="S44" s="102" t="s">
        <v>37</v>
      </c>
      <c r="T44" s="102" t="s">
        <v>37</v>
      </c>
      <c r="U44" s="102" t="s">
        <v>37</v>
      </c>
      <c r="V44" s="160" t="s">
        <v>37</v>
      </c>
      <c r="X44" s="108">
        <f>$D29</f>
        <v>372.5038463814561</v>
      </c>
      <c r="Y44" s="109">
        <f>$D30</f>
        <v>60.8320512061813</v>
      </c>
      <c r="Z44" s="105">
        <f>D$38</f>
        <v>55.83205120618128</v>
      </c>
    </row>
    <row r="45" spans="1:26" ht="12.75">
      <c r="A45" s="6"/>
      <c r="B45" s="85">
        <v>3</v>
      </c>
      <c r="C45" s="81" t="s">
        <v>37</v>
      </c>
      <c r="D45" s="102" t="s">
        <v>37</v>
      </c>
      <c r="E45" s="102" t="s">
        <v>37</v>
      </c>
      <c r="F45" s="103">
        <f aca="true" t="shared" si="4" ref="F45:R45">SQRT(POWER($X45-F$29,2)+POWER($Y45-F$30,2))-(F$38+$Z45+$I$14)</f>
        <v>0</v>
      </c>
      <c r="G45" s="103">
        <f t="shared" si="4"/>
        <v>48.323853461284315</v>
      </c>
      <c r="H45" s="103">
        <f t="shared" si="4"/>
        <v>0</v>
      </c>
      <c r="I45" s="103">
        <f t="shared" si="4"/>
        <v>48.323853461284315</v>
      </c>
      <c r="J45" s="103">
        <f t="shared" si="4"/>
        <v>0</v>
      </c>
      <c r="K45" s="103">
        <f t="shared" si="4"/>
        <v>48.323853461284315</v>
      </c>
      <c r="L45" s="103">
        <f t="shared" si="4"/>
        <v>144.20476111567734</v>
      </c>
      <c r="M45" s="103">
        <f t="shared" si="4"/>
        <v>116.6641024123626</v>
      </c>
      <c r="N45" s="103">
        <f t="shared" si="4"/>
        <v>144.20476111567737</v>
      </c>
      <c r="O45" s="103">
        <f t="shared" si="4"/>
        <v>144.20476111567737</v>
      </c>
      <c r="P45" s="103">
        <f t="shared" si="4"/>
        <v>116.66410241236258</v>
      </c>
      <c r="Q45" s="103">
        <f t="shared" si="4"/>
        <v>144.13313182987937</v>
      </c>
      <c r="R45" s="103">
        <f t="shared" si="4"/>
        <v>213.3118093349312</v>
      </c>
      <c r="S45" s="102" t="s">
        <v>37</v>
      </c>
      <c r="T45" s="102" t="s">
        <v>37</v>
      </c>
      <c r="U45" s="102" t="s">
        <v>37</v>
      </c>
      <c r="V45" s="160" t="s">
        <v>37</v>
      </c>
      <c r="X45" s="108">
        <f>$E29</f>
        <v>372.5038463814561</v>
      </c>
      <c r="Y45" s="109">
        <f>$E30</f>
        <v>177.49615361854387</v>
      </c>
      <c r="Z45" s="105">
        <f>E$38</f>
        <v>55.83205120618128</v>
      </c>
    </row>
    <row r="46" spans="1:26" ht="12.75">
      <c r="A46" s="6"/>
      <c r="B46" s="85">
        <v>4</v>
      </c>
      <c r="C46" s="81" t="s">
        <v>37</v>
      </c>
      <c r="D46" s="102" t="s">
        <v>37</v>
      </c>
      <c r="E46" s="102" t="s">
        <v>37</v>
      </c>
      <c r="F46" s="102" t="s">
        <v>37</v>
      </c>
      <c r="G46" s="103">
        <f aca="true" t="shared" si="5" ref="G46:R46">SQRT(POWER($X46-G$29,2)+POWER($Y46-G$30,2))-(G$38+$Z46+$I$14)</f>
        <v>144.20476111567734</v>
      </c>
      <c r="H46" s="103">
        <f t="shared" si="5"/>
        <v>116.66410241236258</v>
      </c>
      <c r="I46" s="103">
        <f t="shared" si="5"/>
        <v>0</v>
      </c>
      <c r="J46" s="103">
        <f t="shared" si="5"/>
        <v>48.323853461284315</v>
      </c>
      <c r="K46" s="103">
        <f t="shared" si="5"/>
        <v>144.20476111567734</v>
      </c>
      <c r="L46" s="103">
        <f t="shared" si="5"/>
        <v>116.6641024123626</v>
      </c>
      <c r="M46" s="103">
        <f t="shared" si="5"/>
        <v>144.20476111567734</v>
      </c>
      <c r="N46" s="103">
        <f t="shared" si="5"/>
        <v>213.3118093349312</v>
      </c>
      <c r="O46" s="103">
        <f t="shared" si="5"/>
        <v>252.26018238984759</v>
      </c>
      <c r="P46" s="103">
        <f t="shared" si="5"/>
        <v>233.3282048247252</v>
      </c>
      <c r="Q46" s="103">
        <f t="shared" si="5"/>
        <v>252.20953631344005</v>
      </c>
      <c r="R46" s="103">
        <f t="shared" si="5"/>
        <v>303.97430084139285</v>
      </c>
      <c r="S46" s="102" t="s">
        <v>37</v>
      </c>
      <c r="T46" s="102" t="s">
        <v>37</v>
      </c>
      <c r="U46" s="102" t="s">
        <v>37</v>
      </c>
      <c r="V46" s="160" t="s">
        <v>37</v>
      </c>
      <c r="X46" s="108">
        <f>$F29</f>
        <v>489.1679487938187</v>
      </c>
      <c r="Y46" s="109">
        <f>$F30</f>
        <v>177.49615361854387</v>
      </c>
      <c r="Z46" s="105">
        <f>F$38</f>
        <v>55.83205120618128</v>
      </c>
    </row>
    <row r="47" spans="1:26" ht="12.75">
      <c r="A47" s="6"/>
      <c r="B47" s="85">
        <v>5</v>
      </c>
      <c r="C47" s="81" t="s">
        <v>37</v>
      </c>
      <c r="D47" s="102" t="s">
        <v>37</v>
      </c>
      <c r="E47" s="102" t="s">
        <v>37</v>
      </c>
      <c r="F47" s="102" t="s">
        <v>37</v>
      </c>
      <c r="G47" s="102" t="s">
        <v>37</v>
      </c>
      <c r="H47" s="103">
        <f aca="true" t="shared" si="6" ref="H47:R47">SQRT(POWER($X47-H$29,2)+POWER($Y47-H$30,2))-(H$38+$Z47+$I$14)</f>
        <v>0</v>
      </c>
      <c r="I47" s="103">
        <f t="shared" si="6"/>
        <v>213.31180933493118</v>
      </c>
      <c r="J47" s="103">
        <f t="shared" si="6"/>
        <v>144.20476111567734</v>
      </c>
      <c r="K47" s="103">
        <f t="shared" si="6"/>
        <v>116.6641024123626</v>
      </c>
      <c r="L47" s="103">
        <f t="shared" si="6"/>
        <v>303.9743008413928</v>
      </c>
      <c r="M47" s="103">
        <f t="shared" si="6"/>
        <v>252.26018238984756</v>
      </c>
      <c r="N47" s="103">
        <f t="shared" si="6"/>
        <v>233.3282048247252</v>
      </c>
      <c r="O47" s="103">
        <f t="shared" si="6"/>
        <v>0</v>
      </c>
      <c r="P47" s="103">
        <f t="shared" si="6"/>
        <v>48.3238534612843</v>
      </c>
      <c r="Q47" s="103">
        <f t="shared" si="6"/>
        <v>144.06143361431643</v>
      </c>
      <c r="R47" s="103">
        <f t="shared" si="6"/>
        <v>252.26018238984759</v>
      </c>
      <c r="S47" s="102" t="s">
        <v>37</v>
      </c>
      <c r="T47" s="102" t="s">
        <v>37</v>
      </c>
      <c r="U47" s="102" t="s">
        <v>37</v>
      </c>
      <c r="V47" s="160" t="s">
        <v>37</v>
      </c>
      <c r="X47" s="108">
        <f>$G29</f>
        <v>255.83974396909355</v>
      </c>
      <c r="Y47" s="109">
        <f>$G30</f>
        <v>60.8320512061813</v>
      </c>
      <c r="Z47" s="105">
        <f>G$38</f>
        <v>55.83205120618128</v>
      </c>
    </row>
    <row r="48" spans="1:26" ht="12.75">
      <c r="A48" s="6"/>
      <c r="B48" s="85">
        <v>6</v>
      </c>
      <c r="C48" s="81" t="s">
        <v>37</v>
      </c>
      <c r="D48" s="102" t="s">
        <v>37</v>
      </c>
      <c r="E48" s="102" t="s">
        <v>37</v>
      </c>
      <c r="F48" s="102" t="s">
        <v>37</v>
      </c>
      <c r="G48" s="102" t="s">
        <v>37</v>
      </c>
      <c r="H48" s="102" t="s">
        <v>37</v>
      </c>
      <c r="I48" s="103">
        <f aca="true" t="shared" si="7" ref="I48:R48">SQRT(POWER($X48-I$29,2)+POWER($Y48-I$30,2))-(I$38+$Z48+$I$14)</f>
        <v>144.20476111567734</v>
      </c>
      <c r="J48" s="103">
        <f t="shared" si="7"/>
        <v>48.3238534612843</v>
      </c>
      <c r="K48" s="103">
        <f t="shared" si="7"/>
        <v>0</v>
      </c>
      <c r="L48" s="103">
        <f t="shared" si="7"/>
        <v>213.31180933493118</v>
      </c>
      <c r="M48" s="103">
        <f t="shared" si="7"/>
        <v>144.20476111567734</v>
      </c>
      <c r="N48" s="103">
        <f t="shared" si="7"/>
        <v>116.66410241236258</v>
      </c>
      <c r="O48" s="103">
        <f t="shared" si="7"/>
        <v>48.32385346128427</v>
      </c>
      <c r="P48" s="103">
        <f t="shared" si="7"/>
        <v>0</v>
      </c>
      <c r="Q48" s="103">
        <f t="shared" si="7"/>
        <v>48.21057427680077</v>
      </c>
      <c r="R48" s="103">
        <f t="shared" si="7"/>
        <v>144.20476111567734</v>
      </c>
      <c r="S48" s="102" t="s">
        <v>37</v>
      </c>
      <c r="T48" s="102" t="s">
        <v>37</v>
      </c>
      <c r="U48" s="102" t="s">
        <v>37</v>
      </c>
      <c r="V48" s="160" t="s">
        <v>37</v>
      </c>
      <c r="X48" s="108">
        <f>$H29</f>
        <v>255.83974396909355</v>
      </c>
      <c r="Y48" s="109">
        <f>$H30</f>
        <v>177.49615361854387</v>
      </c>
      <c r="Z48" s="105">
        <f>H$38</f>
        <v>55.8320512061813</v>
      </c>
    </row>
    <row r="49" spans="1:26" ht="12.75">
      <c r="A49" s="6"/>
      <c r="B49" s="85">
        <v>7</v>
      </c>
      <c r="C49" s="81" t="s">
        <v>37</v>
      </c>
      <c r="D49" s="102" t="s">
        <v>37</v>
      </c>
      <c r="E49" s="102" t="s">
        <v>37</v>
      </c>
      <c r="F49" s="102" t="s">
        <v>37</v>
      </c>
      <c r="G49" s="102" t="s">
        <v>37</v>
      </c>
      <c r="H49" s="102" t="s">
        <v>37</v>
      </c>
      <c r="I49" s="102" t="s">
        <v>37</v>
      </c>
      <c r="J49" s="103">
        <f aca="true" t="shared" si="8" ref="J49:R49">SQRT(POWER($X49-J$29,2)+POWER($Y49-J$30,2))-(J$38+$Z49+$I$14)</f>
        <v>0</v>
      </c>
      <c r="K49" s="103">
        <f t="shared" si="8"/>
        <v>116.6641024123626</v>
      </c>
      <c r="L49" s="103">
        <f t="shared" si="8"/>
        <v>0</v>
      </c>
      <c r="M49" s="103">
        <f t="shared" si="8"/>
        <v>48.323853461284315</v>
      </c>
      <c r="N49" s="103">
        <f t="shared" si="8"/>
        <v>144.20476111567737</v>
      </c>
      <c r="O49" s="103">
        <f t="shared" si="8"/>
        <v>303.97430084139285</v>
      </c>
      <c r="P49" s="103">
        <f t="shared" si="8"/>
        <v>252.26018238984759</v>
      </c>
      <c r="Q49" s="103">
        <f t="shared" si="8"/>
        <v>233.32824151409457</v>
      </c>
      <c r="R49" s="103">
        <f t="shared" si="8"/>
        <v>252.26018238984759</v>
      </c>
      <c r="S49" s="102" t="s">
        <v>37</v>
      </c>
      <c r="T49" s="102" t="s">
        <v>37</v>
      </c>
      <c r="U49" s="102" t="s">
        <v>37</v>
      </c>
      <c r="V49" s="160" t="s">
        <v>37</v>
      </c>
      <c r="X49" s="108">
        <f>$I29</f>
        <v>489.1679487938187</v>
      </c>
      <c r="Y49" s="109">
        <f>$I30</f>
        <v>294.16025603090645</v>
      </c>
      <c r="Z49" s="105">
        <f>I$38</f>
        <v>55.83205120618128</v>
      </c>
    </row>
    <row r="50" spans="1:26" ht="12.75">
      <c r="A50" s="6"/>
      <c r="B50" s="85">
        <v>8</v>
      </c>
      <c r="C50" s="81" t="s">
        <v>37</v>
      </c>
      <c r="D50" s="102" t="s">
        <v>37</v>
      </c>
      <c r="E50" s="102" t="s">
        <v>37</v>
      </c>
      <c r="F50" s="102" t="s">
        <v>37</v>
      </c>
      <c r="G50" s="102" t="s">
        <v>37</v>
      </c>
      <c r="H50" s="102" t="s">
        <v>37</v>
      </c>
      <c r="I50" s="102" t="s">
        <v>37</v>
      </c>
      <c r="J50" s="102" t="s">
        <v>37</v>
      </c>
      <c r="K50" s="103">
        <f aca="true" t="shared" si="9" ref="K50:R50">SQRT(POWER($X50-K$29,2)+POWER($Y50-K$30,2))-(K$38+$Z50+$I$14)</f>
        <v>0</v>
      </c>
      <c r="L50" s="103">
        <f t="shared" si="9"/>
        <v>48.323853461284315</v>
      </c>
      <c r="M50" s="103">
        <f t="shared" si="9"/>
        <v>0</v>
      </c>
      <c r="N50" s="103">
        <f t="shared" si="9"/>
        <v>48.32385346128433</v>
      </c>
      <c r="O50" s="103">
        <f t="shared" si="9"/>
        <v>213.3118093349312</v>
      </c>
      <c r="P50" s="103">
        <f t="shared" si="9"/>
        <v>144.20476111567737</v>
      </c>
      <c r="Q50" s="103">
        <f t="shared" si="9"/>
        <v>116.6641574464131</v>
      </c>
      <c r="R50" s="103">
        <f t="shared" si="9"/>
        <v>144.20476111567737</v>
      </c>
      <c r="S50" s="102" t="s">
        <v>37</v>
      </c>
      <c r="T50" s="102" t="s">
        <v>37</v>
      </c>
      <c r="U50" s="102" t="s">
        <v>37</v>
      </c>
      <c r="V50" s="160" t="s">
        <v>37</v>
      </c>
      <c r="X50" s="108">
        <f>$J29</f>
        <v>372.5038463814561</v>
      </c>
      <c r="Y50" s="109">
        <f>$J30</f>
        <v>294.16025603090645</v>
      </c>
      <c r="Z50" s="105">
        <f>J$38</f>
        <v>55.83205120618128</v>
      </c>
    </row>
    <row r="51" spans="1:26" ht="12.75">
      <c r="A51" s="6"/>
      <c r="B51" s="85">
        <v>9</v>
      </c>
      <c r="C51" s="81" t="s">
        <v>37</v>
      </c>
      <c r="D51" s="102" t="s">
        <v>37</v>
      </c>
      <c r="E51" s="102" t="s">
        <v>37</v>
      </c>
      <c r="F51" s="102" t="s">
        <v>37</v>
      </c>
      <c r="G51" s="102" t="s">
        <v>37</v>
      </c>
      <c r="H51" s="102" t="s">
        <v>37</v>
      </c>
      <c r="I51" s="102" t="s">
        <v>37</v>
      </c>
      <c r="J51" s="102" t="s">
        <v>37</v>
      </c>
      <c r="K51" s="102" t="s">
        <v>37</v>
      </c>
      <c r="L51" s="103">
        <f aca="true" t="shared" si="10" ref="L51:R51">SQRT(POWER($X51-L$29,2)+POWER($Y51-L$30,2))-(L$38+$Z51+$I$14)</f>
        <v>144.20476111567734</v>
      </c>
      <c r="M51" s="103">
        <f t="shared" si="10"/>
        <v>48.323853461284315</v>
      </c>
      <c r="N51" s="103">
        <f t="shared" si="10"/>
        <v>0</v>
      </c>
      <c r="O51" s="103">
        <f t="shared" si="10"/>
        <v>144.20476111567737</v>
      </c>
      <c r="P51" s="103">
        <f t="shared" si="10"/>
        <v>48.3238534612843</v>
      </c>
      <c r="Q51" s="103">
        <f t="shared" si="10"/>
        <v>0.00011006806205671182</v>
      </c>
      <c r="R51" s="103">
        <f t="shared" si="10"/>
        <v>48.3238534612843</v>
      </c>
      <c r="S51" s="102" t="s">
        <v>37</v>
      </c>
      <c r="T51" s="102" t="s">
        <v>37</v>
      </c>
      <c r="U51" s="102" t="s">
        <v>37</v>
      </c>
      <c r="V51" s="160" t="s">
        <v>37</v>
      </c>
      <c r="X51" s="108">
        <f>$K29</f>
        <v>255.83974396909355</v>
      </c>
      <c r="Y51" s="109">
        <f>$K30</f>
        <v>294.16025603090645</v>
      </c>
      <c r="Z51" s="105">
        <f>K$38</f>
        <v>55.83205120618128</v>
      </c>
    </row>
    <row r="52" spans="1:26" ht="12.75">
      <c r="A52" s="6"/>
      <c r="B52" s="85">
        <v>10</v>
      </c>
      <c r="C52" s="81" t="s">
        <v>37</v>
      </c>
      <c r="D52" s="102" t="s">
        <v>37</v>
      </c>
      <c r="E52" s="102" t="s">
        <v>37</v>
      </c>
      <c r="F52" s="102" t="s">
        <v>37</v>
      </c>
      <c r="G52" s="102" t="s">
        <v>37</v>
      </c>
      <c r="H52" s="102" t="s">
        <v>37</v>
      </c>
      <c r="I52" s="102" t="s">
        <v>37</v>
      </c>
      <c r="J52" s="102" t="s">
        <v>37</v>
      </c>
      <c r="K52" s="102" t="s">
        <v>37</v>
      </c>
      <c r="L52" s="102" t="s">
        <v>37</v>
      </c>
      <c r="M52" s="103">
        <f aca="true" t="shared" si="11" ref="M52:R52">SQRT(POWER($X52-M$29,2)+POWER($Y52-M$30,2))-(M$38+$Z52+$I$14)</f>
        <v>0</v>
      </c>
      <c r="N52" s="103">
        <f t="shared" si="11"/>
        <v>116.66410241236261</v>
      </c>
      <c r="O52" s="103">
        <f t="shared" si="11"/>
        <v>378.29976520857804</v>
      </c>
      <c r="P52" s="103">
        <f t="shared" si="11"/>
        <v>303.97430084139285</v>
      </c>
      <c r="Q52" s="103">
        <f t="shared" si="11"/>
        <v>252.31089111812238</v>
      </c>
      <c r="R52" s="103">
        <f t="shared" si="11"/>
        <v>233.3282048247252</v>
      </c>
      <c r="S52" s="102" t="s">
        <v>37</v>
      </c>
      <c r="T52" s="102" t="s">
        <v>37</v>
      </c>
      <c r="U52" s="102" t="s">
        <v>37</v>
      </c>
      <c r="V52" s="160" t="s">
        <v>37</v>
      </c>
      <c r="X52" s="108">
        <f>$L29</f>
        <v>489.1679487938187</v>
      </c>
      <c r="Y52" s="109">
        <f>$L30</f>
        <v>410.82435844326903</v>
      </c>
      <c r="Z52" s="105">
        <f>L$38</f>
        <v>55.83205120618128</v>
      </c>
    </row>
    <row r="53" spans="1:26" ht="12.75">
      <c r="A53" s="6"/>
      <c r="B53" s="85">
        <v>11</v>
      </c>
      <c r="C53" s="81" t="s">
        <v>37</v>
      </c>
      <c r="D53" s="102" t="s">
        <v>37</v>
      </c>
      <c r="E53" s="102" t="s">
        <v>37</v>
      </c>
      <c r="F53" s="102" t="s">
        <v>37</v>
      </c>
      <c r="G53" s="102" t="s">
        <v>37</v>
      </c>
      <c r="H53" s="102" t="s">
        <v>37</v>
      </c>
      <c r="I53" s="102" t="s">
        <v>37</v>
      </c>
      <c r="J53" s="102" t="s">
        <v>37</v>
      </c>
      <c r="K53" s="102" t="s">
        <v>37</v>
      </c>
      <c r="L53" s="102" t="s">
        <v>37</v>
      </c>
      <c r="M53" s="102" t="s">
        <v>37</v>
      </c>
      <c r="N53" s="103">
        <f>SQRT(POWER($X53-N$29,2)+POWER($Y53-N$30,2))-(N$38+$Z53+$I$14)</f>
        <v>0</v>
      </c>
      <c r="O53" s="103">
        <f>SQRT(POWER($X53-O$29,2)+POWER($Y53-O$30,2))-(O$38+$Z53+$I$14)</f>
        <v>303.97430084139285</v>
      </c>
      <c r="P53" s="103">
        <f>SQRT(POWER($X53-P$29,2)+POWER($Y53-P$30,2))-(P$38+$Z53+$I$14)</f>
        <v>213.3118093349312</v>
      </c>
      <c r="Q53" s="103">
        <f>SQRT(POWER($X53-Q$29,2)+POWER($Y53-Q$30,2))-(Q$38+$Z53+$I$14)</f>
        <v>144.2764691598065</v>
      </c>
      <c r="R53" s="103">
        <f>SQRT(POWER($X53-R$29,2)+POWER($Y53-R$30,2))-(R$38+$Z53+$I$14)</f>
        <v>116.66410241236258</v>
      </c>
      <c r="S53" s="102" t="s">
        <v>37</v>
      </c>
      <c r="T53" s="102" t="s">
        <v>37</v>
      </c>
      <c r="U53" s="102" t="s">
        <v>37</v>
      </c>
      <c r="V53" s="160" t="s">
        <v>37</v>
      </c>
      <c r="X53" s="108">
        <f>$M29</f>
        <v>372.5038463814561</v>
      </c>
      <c r="Y53" s="109">
        <f>$M30</f>
        <v>410.82435844326903</v>
      </c>
      <c r="Z53" s="105">
        <f>M$38</f>
        <v>55.83205120618128</v>
      </c>
    </row>
    <row r="54" spans="1:26" ht="12.75">
      <c r="A54" s="6"/>
      <c r="B54" s="85">
        <v>12</v>
      </c>
      <c r="C54" s="81" t="s">
        <v>37</v>
      </c>
      <c r="D54" s="102" t="s">
        <v>37</v>
      </c>
      <c r="E54" s="102" t="s">
        <v>37</v>
      </c>
      <c r="F54" s="102" t="s">
        <v>37</v>
      </c>
      <c r="G54" s="102" t="s">
        <v>37</v>
      </c>
      <c r="H54" s="102" t="s">
        <v>37</v>
      </c>
      <c r="I54" s="102" t="s">
        <v>37</v>
      </c>
      <c r="J54" s="102" t="s">
        <v>37</v>
      </c>
      <c r="K54" s="102" t="s">
        <v>37</v>
      </c>
      <c r="L54" s="102" t="s">
        <v>37</v>
      </c>
      <c r="M54" s="102" t="s">
        <v>37</v>
      </c>
      <c r="N54" s="102" t="s">
        <v>37</v>
      </c>
      <c r="O54" s="103">
        <f>SQRT(POWER($X54-O$29,2)+POWER($Y54-O$30,2))-(O$38+$Z54+$I$14)</f>
        <v>252.26018238984759</v>
      </c>
      <c r="P54" s="103">
        <f>SQRT(POWER($X54-P$29,2)+POWER($Y54-P$30,2))-(P$38+$Z54+$I$14)</f>
        <v>144.20476111567737</v>
      </c>
      <c r="Q54" s="103">
        <f>SQRT(POWER($X54-Q$29,2)+POWER($Y54-Q$30,2))-(Q$38+$Z54+$I$14)</f>
        <v>48.437210475705115</v>
      </c>
      <c r="R54" s="103">
        <f>SQRT(POWER($X54-R$29,2)+POWER($Y54-R$30,2))-(R$38+$Z54+$I$14)</f>
        <v>0</v>
      </c>
      <c r="S54" s="102" t="s">
        <v>37</v>
      </c>
      <c r="T54" s="102" t="s">
        <v>37</v>
      </c>
      <c r="U54" s="102" t="s">
        <v>37</v>
      </c>
      <c r="V54" s="160" t="s">
        <v>37</v>
      </c>
      <c r="X54" s="108">
        <f>$N29</f>
        <v>255.83974396909355</v>
      </c>
      <c r="Y54" s="109">
        <f>$N30</f>
        <v>410.82435844326903</v>
      </c>
      <c r="Z54" s="105">
        <f>N$38</f>
        <v>55.832051206181276</v>
      </c>
    </row>
    <row r="55" spans="1:26" ht="12.75">
      <c r="A55" s="6"/>
      <c r="B55" s="85">
        <v>13</v>
      </c>
      <c r="C55" s="81" t="s">
        <v>37</v>
      </c>
      <c r="D55" s="102" t="s">
        <v>37</v>
      </c>
      <c r="E55" s="102" t="s">
        <v>37</v>
      </c>
      <c r="F55" s="102" t="s">
        <v>37</v>
      </c>
      <c r="G55" s="102" t="s">
        <v>37</v>
      </c>
      <c r="H55" s="102" t="s">
        <v>37</v>
      </c>
      <c r="I55" s="102" t="s">
        <v>37</v>
      </c>
      <c r="J55" s="102" t="s">
        <v>37</v>
      </c>
      <c r="K55" s="102" t="s">
        <v>37</v>
      </c>
      <c r="L55" s="102" t="s">
        <v>37</v>
      </c>
      <c r="M55" s="102" t="s">
        <v>37</v>
      </c>
      <c r="N55" s="102" t="s">
        <v>37</v>
      </c>
      <c r="O55" s="102" t="s">
        <v>37</v>
      </c>
      <c r="P55" s="103">
        <f>SQRT(POWER($X55-P$29,2)+POWER($Y55-P$30,2))-(P$38+$Z55+$I$14)</f>
        <v>0</v>
      </c>
      <c r="Q55" s="103">
        <f>SQRT(POWER($X55-Q$29,2)+POWER($Y55-Q$30,2))-(Q$38+$Z55+$I$14)</f>
        <v>116.50384638145616</v>
      </c>
      <c r="R55" s="103">
        <f>SQRT(POWER($X55-R$29,2)+POWER($Y55-R$30,2))-(R$38+$Z55+$I$14)</f>
        <v>233.3282048247252</v>
      </c>
      <c r="S55" s="102" t="s">
        <v>37</v>
      </c>
      <c r="T55" s="102" t="s">
        <v>37</v>
      </c>
      <c r="U55" s="102" t="s">
        <v>37</v>
      </c>
      <c r="V55" s="160" t="s">
        <v>37</v>
      </c>
      <c r="X55" s="108">
        <f>$O29</f>
        <v>139.175641556731</v>
      </c>
      <c r="Y55" s="109">
        <f>$O30</f>
        <v>60.8320512061813</v>
      </c>
      <c r="Z55" s="105">
        <f>O$38</f>
        <v>55.832051206181276</v>
      </c>
    </row>
    <row r="56" spans="1:26" ht="12.75">
      <c r="A56" s="6"/>
      <c r="B56" s="85">
        <v>14</v>
      </c>
      <c r="C56" s="81" t="s">
        <v>37</v>
      </c>
      <c r="D56" s="102" t="s">
        <v>37</v>
      </c>
      <c r="E56" s="102" t="s">
        <v>37</v>
      </c>
      <c r="F56" s="102" t="s">
        <v>37</v>
      </c>
      <c r="G56" s="102" t="s">
        <v>37</v>
      </c>
      <c r="H56" s="102" t="s">
        <v>37</v>
      </c>
      <c r="I56" s="102" t="s">
        <v>37</v>
      </c>
      <c r="J56" s="102" t="s">
        <v>37</v>
      </c>
      <c r="K56" s="102" t="s">
        <v>37</v>
      </c>
      <c r="L56" s="102" t="s">
        <v>37</v>
      </c>
      <c r="M56" s="102" t="s">
        <v>37</v>
      </c>
      <c r="N56" s="102" t="s">
        <v>37</v>
      </c>
      <c r="O56" s="102" t="s">
        <v>37</v>
      </c>
      <c r="P56" s="102" t="s">
        <v>37</v>
      </c>
      <c r="Q56" s="103">
        <f>SQRT(POWER($X56-Q$29,2)+POWER($Y56-Q$30,2))-(Q$38+$Z56+$I$14)</f>
        <v>-0.16025603090642448</v>
      </c>
      <c r="R56" s="103">
        <f>SQRT(POWER($X56-R$29,2)+POWER($Y56-R$30,2))-(R$38+$Z56+$I$14)</f>
        <v>116.66410241236261</v>
      </c>
      <c r="S56" s="102" t="s">
        <v>37</v>
      </c>
      <c r="T56" s="102" t="s">
        <v>37</v>
      </c>
      <c r="U56" s="102" t="s">
        <v>37</v>
      </c>
      <c r="V56" s="160" t="s">
        <v>37</v>
      </c>
      <c r="X56" s="108">
        <f>$P29</f>
        <v>139.175641556731</v>
      </c>
      <c r="Y56" s="109">
        <f>$P30</f>
        <v>177.49615361854387</v>
      </c>
      <c r="Z56" s="105">
        <f>P$38</f>
        <v>55.832051206181276</v>
      </c>
    </row>
    <row r="57" spans="1:26" ht="12.75">
      <c r="A57" s="6"/>
      <c r="B57" s="85">
        <v>15</v>
      </c>
      <c r="C57" s="81" t="s">
        <v>37</v>
      </c>
      <c r="D57" s="102" t="s">
        <v>37</v>
      </c>
      <c r="E57" s="102" t="s">
        <v>37</v>
      </c>
      <c r="F57" s="102" t="s">
        <v>37</v>
      </c>
      <c r="G57" s="102" t="s">
        <v>37</v>
      </c>
      <c r="H57" s="102" t="s">
        <v>37</v>
      </c>
      <c r="I57" s="102" t="s">
        <v>37</v>
      </c>
      <c r="J57" s="102" t="s">
        <v>37</v>
      </c>
      <c r="K57" s="102" t="s">
        <v>37</v>
      </c>
      <c r="L57" s="102" t="s">
        <v>37</v>
      </c>
      <c r="M57" s="102" t="s">
        <v>37</v>
      </c>
      <c r="N57" s="102" t="s">
        <v>37</v>
      </c>
      <c r="O57" s="102" t="s">
        <v>37</v>
      </c>
      <c r="P57" s="102" t="s">
        <v>37</v>
      </c>
      <c r="Q57" s="102" t="s">
        <v>37</v>
      </c>
      <c r="R57" s="103">
        <f>SQRT(POWER($X57-R$29,2)+POWER($Y57-R$30,2))-(R$38+$Z57+$I$14)</f>
        <v>0.16025603090648133</v>
      </c>
      <c r="S57" s="102" t="s">
        <v>37</v>
      </c>
      <c r="T57" s="102" t="s">
        <v>37</v>
      </c>
      <c r="U57" s="102" t="s">
        <v>37</v>
      </c>
      <c r="V57" s="160" t="s">
        <v>37</v>
      </c>
      <c r="X57" s="108">
        <f>$Q29</f>
        <v>139.175641556731</v>
      </c>
      <c r="Y57" s="109">
        <f>$Q30</f>
        <v>294</v>
      </c>
      <c r="Z57" s="105">
        <f>Q$38</f>
        <v>55.832051206181276</v>
      </c>
    </row>
    <row r="58" spans="1:26" ht="12.75">
      <c r="A58" s="6"/>
      <c r="B58" s="85">
        <v>16</v>
      </c>
      <c r="C58" s="81" t="s">
        <v>37</v>
      </c>
      <c r="D58" s="102" t="s">
        <v>37</v>
      </c>
      <c r="E58" s="102" t="s">
        <v>37</v>
      </c>
      <c r="F58" s="102" t="s">
        <v>37</v>
      </c>
      <c r="G58" s="102" t="s">
        <v>37</v>
      </c>
      <c r="H58" s="102" t="s">
        <v>37</v>
      </c>
      <c r="I58" s="102" t="s">
        <v>37</v>
      </c>
      <c r="J58" s="102" t="s">
        <v>37</v>
      </c>
      <c r="K58" s="102" t="s">
        <v>37</v>
      </c>
      <c r="L58" s="102" t="s">
        <v>37</v>
      </c>
      <c r="M58" s="102" t="s">
        <v>37</v>
      </c>
      <c r="N58" s="102" t="s">
        <v>37</v>
      </c>
      <c r="O58" s="102" t="s">
        <v>37</v>
      </c>
      <c r="P58" s="102" t="s">
        <v>37</v>
      </c>
      <c r="Q58" s="102" t="s">
        <v>37</v>
      </c>
      <c r="R58" s="102" t="s">
        <v>37</v>
      </c>
      <c r="S58" s="102" t="s">
        <v>37</v>
      </c>
      <c r="T58" s="102" t="s">
        <v>37</v>
      </c>
      <c r="U58" s="102" t="s">
        <v>37</v>
      </c>
      <c r="V58" s="160" t="s">
        <v>37</v>
      </c>
      <c r="X58" s="108">
        <f>$R29</f>
        <v>139.175641556731</v>
      </c>
      <c r="Y58" s="109">
        <f>$R30</f>
        <v>410.82435844326903</v>
      </c>
      <c r="Z58" s="105">
        <f>R$38</f>
        <v>55.832051206181276</v>
      </c>
    </row>
    <row r="59" spans="1:26" ht="12.75">
      <c r="A59" s="6"/>
      <c r="B59" s="85">
        <v>17</v>
      </c>
      <c r="C59" s="81" t="s">
        <v>37</v>
      </c>
      <c r="D59" s="102" t="s">
        <v>37</v>
      </c>
      <c r="E59" s="102" t="s">
        <v>37</v>
      </c>
      <c r="F59" s="102" t="s">
        <v>37</v>
      </c>
      <c r="G59" s="102" t="s">
        <v>37</v>
      </c>
      <c r="H59" s="102" t="s">
        <v>37</v>
      </c>
      <c r="I59" s="102" t="s">
        <v>37</v>
      </c>
      <c r="J59" s="102" t="s">
        <v>37</v>
      </c>
      <c r="K59" s="102" t="s">
        <v>37</v>
      </c>
      <c r="L59" s="102" t="s">
        <v>37</v>
      </c>
      <c r="M59" s="102" t="s">
        <v>37</v>
      </c>
      <c r="N59" s="102" t="s">
        <v>37</v>
      </c>
      <c r="O59" s="102" t="s">
        <v>37</v>
      </c>
      <c r="P59" s="102" t="s">
        <v>37</v>
      </c>
      <c r="Q59" s="102" t="s">
        <v>37</v>
      </c>
      <c r="R59" s="102" t="s">
        <v>37</v>
      </c>
      <c r="S59" s="102" t="s">
        <v>37</v>
      </c>
      <c r="T59" s="102" t="s">
        <v>37</v>
      </c>
      <c r="U59" s="102" t="s">
        <v>37</v>
      </c>
      <c r="V59" s="160" t="s">
        <v>37</v>
      </c>
      <c r="X59" s="108">
        <f>$S29</f>
        <v>0</v>
      </c>
      <c r="Y59" s="109">
        <f>$S30</f>
        <v>0</v>
      </c>
      <c r="Z59" s="105" t="str">
        <f>S$38</f>
        <v>-</v>
      </c>
    </row>
    <row r="60" spans="1:26" ht="12.75">
      <c r="A60" s="6"/>
      <c r="B60" s="85">
        <v>18</v>
      </c>
      <c r="C60" s="81" t="s">
        <v>37</v>
      </c>
      <c r="D60" s="102" t="s">
        <v>37</v>
      </c>
      <c r="E60" s="102" t="s">
        <v>37</v>
      </c>
      <c r="F60" s="102" t="s">
        <v>37</v>
      </c>
      <c r="G60" s="102" t="s">
        <v>37</v>
      </c>
      <c r="H60" s="102" t="s">
        <v>37</v>
      </c>
      <c r="I60" s="102" t="s">
        <v>37</v>
      </c>
      <c r="J60" s="102" t="s">
        <v>37</v>
      </c>
      <c r="K60" s="102" t="s">
        <v>37</v>
      </c>
      <c r="L60" s="102" t="s">
        <v>37</v>
      </c>
      <c r="M60" s="102" t="s">
        <v>37</v>
      </c>
      <c r="N60" s="102" t="s">
        <v>37</v>
      </c>
      <c r="O60" s="102" t="s">
        <v>37</v>
      </c>
      <c r="P60" s="102" t="s">
        <v>37</v>
      </c>
      <c r="Q60" s="102" t="s">
        <v>37</v>
      </c>
      <c r="R60" s="102" t="s">
        <v>37</v>
      </c>
      <c r="S60" s="102" t="s">
        <v>37</v>
      </c>
      <c r="T60" s="102" t="s">
        <v>37</v>
      </c>
      <c r="U60" s="102" t="s">
        <v>37</v>
      </c>
      <c r="V60" s="160" t="s">
        <v>37</v>
      </c>
      <c r="X60" s="108">
        <f>$T29</f>
        <v>0</v>
      </c>
      <c r="Y60" s="109">
        <f>$T30</f>
        <v>0</v>
      </c>
      <c r="Z60" s="105" t="str">
        <f>T$38</f>
        <v>-</v>
      </c>
    </row>
    <row r="61" spans="1:26" ht="12.75">
      <c r="A61" s="6"/>
      <c r="B61" s="85">
        <v>19</v>
      </c>
      <c r="C61" s="81" t="s">
        <v>37</v>
      </c>
      <c r="D61" s="102" t="s">
        <v>37</v>
      </c>
      <c r="E61" s="102" t="s">
        <v>37</v>
      </c>
      <c r="F61" s="102" t="s">
        <v>37</v>
      </c>
      <c r="G61" s="102" t="s">
        <v>37</v>
      </c>
      <c r="H61" s="102" t="s">
        <v>37</v>
      </c>
      <c r="I61" s="102" t="s">
        <v>37</v>
      </c>
      <c r="J61" s="102" t="s">
        <v>37</v>
      </c>
      <c r="K61" s="102" t="s">
        <v>37</v>
      </c>
      <c r="L61" s="102" t="s">
        <v>37</v>
      </c>
      <c r="M61" s="102" t="s">
        <v>37</v>
      </c>
      <c r="N61" s="102" t="s">
        <v>37</v>
      </c>
      <c r="O61" s="102" t="s">
        <v>37</v>
      </c>
      <c r="P61" s="102" t="s">
        <v>37</v>
      </c>
      <c r="Q61" s="102" t="s">
        <v>37</v>
      </c>
      <c r="R61" s="102" t="s">
        <v>37</v>
      </c>
      <c r="S61" s="102" t="s">
        <v>37</v>
      </c>
      <c r="T61" s="102" t="s">
        <v>37</v>
      </c>
      <c r="U61" s="102" t="s">
        <v>37</v>
      </c>
      <c r="V61" s="160" t="s">
        <v>37</v>
      </c>
      <c r="X61" s="108">
        <f>$U29</f>
        <v>0</v>
      </c>
      <c r="Y61" s="109">
        <f>$U30</f>
        <v>0</v>
      </c>
      <c r="Z61" s="105" t="str">
        <f>U$38</f>
        <v>-</v>
      </c>
    </row>
    <row r="62" spans="1:26" ht="13.5" thickBot="1">
      <c r="A62" s="6"/>
      <c r="B62" s="86">
        <v>20</v>
      </c>
      <c r="C62" s="82" t="s">
        <v>37</v>
      </c>
      <c r="D62" s="78" t="s">
        <v>37</v>
      </c>
      <c r="E62" s="78" t="s">
        <v>37</v>
      </c>
      <c r="F62" s="78" t="s">
        <v>37</v>
      </c>
      <c r="G62" s="78" t="s">
        <v>37</v>
      </c>
      <c r="H62" s="78" t="s">
        <v>37</v>
      </c>
      <c r="I62" s="78" t="s">
        <v>37</v>
      </c>
      <c r="J62" s="78" t="s">
        <v>37</v>
      </c>
      <c r="K62" s="78" t="s">
        <v>37</v>
      </c>
      <c r="L62" s="78" t="s">
        <v>37</v>
      </c>
      <c r="M62" s="78" t="s">
        <v>37</v>
      </c>
      <c r="N62" s="78" t="s">
        <v>37</v>
      </c>
      <c r="O62" s="78" t="s">
        <v>37</v>
      </c>
      <c r="P62" s="78" t="s">
        <v>37</v>
      </c>
      <c r="Q62" s="78" t="s">
        <v>37</v>
      </c>
      <c r="R62" s="78" t="s">
        <v>37</v>
      </c>
      <c r="S62" s="78" t="s">
        <v>37</v>
      </c>
      <c r="T62" s="78" t="s">
        <v>37</v>
      </c>
      <c r="U62" s="78" t="s">
        <v>37</v>
      </c>
      <c r="V62" s="79" t="s">
        <v>37</v>
      </c>
      <c r="X62" s="110">
        <f>$V29</f>
        <v>0</v>
      </c>
      <c r="Y62" s="111">
        <f>$V30</f>
        <v>0</v>
      </c>
      <c r="Z62" s="107" t="str">
        <f>V$38</f>
        <v>-</v>
      </c>
    </row>
    <row r="63" spans="1:22" ht="12.75">
      <c r="A63" s="6"/>
      <c r="C63" s="21" t="s">
        <v>38</v>
      </c>
      <c r="D63" s="21" t="s">
        <v>38</v>
      </c>
      <c r="E63" s="21" t="s">
        <v>38</v>
      </c>
      <c r="F63" s="21" t="s">
        <v>38</v>
      </c>
      <c r="G63" s="21" t="s">
        <v>38</v>
      </c>
      <c r="H63" s="21" t="s">
        <v>38</v>
      </c>
      <c r="I63" s="21" t="s">
        <v>38</v>
      </c>
      <c r="J63" s="21" t="s">
        <v>38</v>
      </c>
      <c r="K63" s="21" t="s">
        <v>38</v>
      </c>
      <c r="L63" s="21" t="s">
        <v>38</v>
      </c>
      <c r="M63" s="21" t="s">
        <v>38</v>
      </c>
      <c r="N63" s="21" t="s">
        <v>38</v>
      </c>
      <c r="O63" s="21" t="s">
        <v>38</v>
      </c>
      <c r="P63" s="21" t="s">
        <v>38</v>
      </c>
      <c r="Q63" s="21" t="s">
        <v>38</v>
      </c>
      <c r="R63" s="21" t="s">
        <v>38</v>
      </c>
      <c r="S63" s="21" t="s">
        <v>38</v>
      </c>
      <c r="T63" s="21" t="s">
        <v>38</v>
      </c>
      <c r="U63" s="21" t="s">
        <v>38</v>
      </c>
      <c r="V63" s="21" t="s">
        <v>38</v>
      </c>
    </row>
    <row r="64" spans="1:22" ht="12.75">
      <c r="A64" s="6"/>
      <c r="B64" s="33" t="s">
        <v>83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</row>
    <row r="65" spans="1:22" ht="12.75">
      <c r="A65" s="6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11" ht="13.5" thickBot="1">
      <c r="A66" s="6"/>
      <c r="B66" s="33" t="s">
        <v>76</v>
      </c>
      <c r="C66" s="21"/>
      <c r="D66" s="21"/>
      <c r="E66" s="21"/>
      <c r="F66" s="21"/>
      <c r="G66" s="21"/>
      <c r="H66" s="21"/>
      <c r="I66" s="21"/>
      <c r="J66" s="21"/>
      <c r="K66" s="21"/>
    </row>
    <row r="67" spans="1:22" ht="12.75">
      <c r="A67" s="6"/>
      <c r="B67" s="33" t="s">
        <v>12</v>
      </c>
      <c r="C67" s="115">
        <f aca="true" t="shared" si="12" ref="C67:R67">C$29+C$38+$I$14-$I$8</f>
        <v>0</v>
      </c>
      <c r="D67" s="116">
        <f t="shared" si="12"/>
        <v>-116.66410241236258</v>
      </c>
      <c r="E67" s="116">
        <f t="shared" si="12"/>
        <v>-116.66410241236258</v>
      </c>
      <c r="F67" s="116">
        <f t="shared" si="12"/>
        <v>0</v>
      </c>
      <c r="G67" s="116">
        <f t="shared" si="12"/>
        <v>-233.32820482472516</v>
      </c>
      <c r="H67" s="116">
        <f t="shared" si="12"/>
        <v>-233.32820482472516</v>
      </c>
      <c r="I67" s="116">
        <f t="shared" si="12"/>
        <v>0</v>
      </c>
      <c r="J67" s="116">
        <f t="shared" si="12"/>
        <v>-116.66410241236258</v>
      </c>
      <c r="K67" s="116">
        <f t="shared" si="12"/>
        <v>-233.32820482472516</v>
      </c>
      <c r="L67" s="116">
        <f t="shared" si="12"/>
        <v>0</v>
      </c>
      <c r="M67" s="116">
        <f t="shared" si="12"/>
        <v>-116.66410241236258</v>
      </c>
      <c r="N67" s="116">
        <f t="shared" si="12"/>
        <v>-233.32820482472516</v>
      </c>
      <c r="O67" s="116">
        <f t="shared" si="12"/>
        <v>-349.99230723708774</v>
      </c>
      <c r="P67" s="116">
        <f t="shared" si="12"/>
        <v>-349.99230723708774</v>
      </c>
      <c r="Q67" s="116">
        <f t="shared" si="12"/>
        <v>-349.99230723708774</v>
      </c>
      <c r="R67" s="116">
        <f t="shared" si="12"/>
        <v>-349.99230723708774</v>
      </c>
      <c r="S67" s="162" t="s">
        <v>37</v>
      </c>
      <c r="T67" s="162" t="s">
        <v>37</v>
      </c>
      <c r="U67" s="162" t="s">
        <v>37</v>
      </c>
      <c r="V67" s="161" t="s">
        <v>37</v>
      </c>
    </row>
    <row r="68" spans="1:22" ht="12.75">
      <c r="A68" s="6"/>
      <c r="B68" s="21"/>
      <c r="C68" s="117" t="s">
        <v>35</v>
      </c>
      <c r="D68" s="21" t="s">
        <v>35</v>
      </c>
      <c r="E68" s="21" t="s">
        <v>35</v>
      </c>
      <c r="F68" s="21" t="s">
        <v>35</v>
      </c>
      <c r="G68" s="21" t="s">
        <v>35</v>
      </c>
      <c r="H68" s="21" t="s">
        <v>35</v>
      </c>
      <c r="I68" s="21" t="s">
        <v>35</v>
      </c>
      <c r="J68" s="21" t="s">
        <v>35</v>
      </c>
      <c r="K68" s="21" t="s">
        <v>35</v>
      </c>
      <c r="L68" s="21" t="s">
        <v>35</v>
      </c>
      <c r="M68" s="21" t="s">
        <v>35</v>
      </c>
      <c r="N68" s="21" t="s">
        <v>35</v>
      </c>
      <c r="O68" s="21" t="s">
        <v>35</v>
      </c>
      <c r="P68" s="21" t="s">
        <v>35</v>
      </c>
      <c r="Q68" s="21" t="s">
        <v>35</v>
      </c>
      <c r="R68" s="21" t="s">
        <v>35</v>
      </c>
      <c r="S68" s="21" t="s">
        <v>35</v>
      </c>
      <c r="T68" s="21" t="s">
        <v>35</v>
      </c>
      <c r="U68" s="21" t="s">
        <v>35</v>
      </c>
      <c r="V68" s="118" t="s">
        <v>35</v>
      </c>
    </row>
    <row r="69" spans="1:22" ht="13.5" thickBot="1">
      <c r="A69" s="6"/>
      <c r="B69" s="21"/>
      <c r="C69" s="119">
        <v>0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63" t="s">
        <v>37</v>
      </c>
      <c r="T69" s="163" t="s">
        <v>37</v>
      </c>
      <c r="U69" s="163" t="s">
        <v>37</v>
      </c>
      <c r="V69" s="164" t="s">
        <v>37</v>
      </c>
    </row>
    <row r="70" spans="1:11" ht="13.5" thickBot="1">
      <c r="A70" s="6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22" ht="12.75">
      <c r="A71" s="6"/>
      <c r="B71" s="33" t="s">
        <v>11</v>
      </c>
      <c r="C71" s="115">
        <f aca="true" t="shared" si="13" ref="C71:R71">C$29-(C$38+$I$14)-$I$7</f>
        <v>428.3358975876374</v>
      </c>
      <c r="D71" s="116">
        <f t="shared" si="13"/>
        <v>311.67179517527484</v>
      </c>
      <c r="E71" s="116">
        <f t="shared" si="13"/>
        <v>311.67179517527484</v>
      </c>
      <c r="F71" s="116">
        <f t="shared" si="13"/>
        <v>428.3358975876374</v>
      </c>
      <c r="G71" s="116">
        <f t="shared" si="13"/>
        <v>195.00769276291226</v>
      </c>
      <c r="H71" s="116">
        <f t="shared" si="13"/>
        <v>195.00769276291226</v>
      </c>
      <c r="I71" s="116">
        <f t="shared" si="13"/>
        <v>428.3358975876374</v>
      </c>
      <c r="J71" s="116">
        <f t="shared" si="13"/>
        <v>311.67179517527484</v>
      </c>
      <c r="K71" s="116">
        <f t="shared" si="13"/>
        <v>195.00769276291226</v>
      </c>
      <c r="L71" s="116">
        <f t="shared" si="13"/>
        <v>428.3358975876374</v>
      </c>
      <c r="M71" s="116">
        <f t="shared" si="13"/>
        <v>311.67179517527484</v>
      </c>
      <c r="N71" s="116">
        <f t="shared" si="13"/>
        <v>195.00769276291226</v>
      </c>
      <c r="O71" s="116">
        <f t="shared" si="13"/>
        <v>78.34359035054972</v>
      </c>
      <c r="P71" s="116">
        <f t="shared" si="13"/>
        <v>78.34359035054972</v>
      </c>
      <c r="Q71" s="116">
        <f t="shared" si="13"/>
        <v>78.34359035054972</v>
      </c>
      <c r="R71" s="116">
        <f t="shared" si="13"/>
        <v>78.34359035054972</v>
      </c>
      <c r="S71" s="162" t="s">
        <v>37</v>
      </c>
      <c r="T71" s="162" t="s">
        <v>37</v>
      </c>
      <c r="U71" s="162" t="s">
        <v>37</v>
      </c>
      <c r="V71" s="161" t="s">
        <v>37</v>
      </c>
    </row>
    <row r="72" spans="1:22" ht="12.75">
      <c r="A72" s="6"/>
      <c r="B72" s="21"/>
      <c r="C72" s="117" t="s">
        <v>39</v>
      </c>
      <c r="D72" s="21" t="s">
        <v>39</v>
      </c>
      <c r="E72" s="21" t="s">
        <v>39</v>
      </c>
      <c r="F72" s="21" t="s">
        <v>39</v>
      </c>
      <c r="G72" s="21" t="s">
        <v>39</v>
      </c>
      <c r="H72" s="21" t="s">
        <v>39</v>
      </c>
      <c r="I72" s="21" t="s">
        <v>39</v>
      </c>
      <c r="J72" s="21" t="s">
        <v>39</v>
      </c>
      <c r="K72" s="21" t="s">
        <v>39</v>
      </c>
      <c r="L72" s="21" t="s">
        <v>39</v>
      </c>
      <c r="M72" s="21" t="s">
        <v>39</v>
      </c>
      <c r="N72" s="21" t="s">
        <v>39</v>
      </c>
      <c r="O72" s="21" t="s">
        <v>39</v>
      </c>
      <c r="P72" s="21" t="s">
        <v>39</v>
      </c>
      <c r="Q72" s="21" t="s">
        <v>39</v>
      </c>
      <c r="R72" s="21" t="s">
        <v>39</v>
      </c>
      <c r="S72" s="21" t="s">
        <v>39</v>
      </c>
      <c r="T72" s="21" t="s">
        <v>39</v>
      </c>
      <c r="U72" s="21" t="s">
        <v>39</v>
      </c>
      <c r="V72" s="118" t="s">
        <v>39</v>
      </c>
    </row>
    <row r="73" spans="1:22" ht="13.5" thickBot="1">
      <c r="A73" s="6"/>
      <c r="B73" s="21"/>
      <c r="C73" s="119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63" t="s">
        <v>37</v>
      </c>
      <c r="T73" s="163" t="s">
        <v>37</v>
      </c>
      <c r="U73" s="163" t="s">
        <v>37</v>
      </c>
      <c r="V73" s="164" t="s">
        <v>37</v>
      </c>
    </row>
    <row r="74" spans="1:11" ht="13.5" thickBot="1">
      <c r="A74" s="6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22" ht="12.75">
      <c r="A75" s="6"/>
      <c r="B75" s="33" t="s">
        <v>14</v>
      </c>
      <c r="C75" s="121">
        <f aca="true" t="shared" si="14" ref="C75:R75">C$30+C$38+$I$14-$I$10</f>
        <v>-428.3358975876374</v>
      </c>
      <c r="D75" s="122">
        <f t="shared" si="14"/>
        <v>-428.3358975876374</v>
      </c>
      <c r="E75" s="122">
        <f t="shared" si="14"/>
        <v>-311.67179517527484</v>
      </c>
      <c r="F75" s="122">
        <f t="shared" si="14"/>
        <v>-311.67179517527484</v>
      </c>
      <c r="G75" s="122">
        <f t="shared" si="14"/>
        <v>-428.3358975876374</v>
      </c>
      <c r="H75" s="122">
        <f t="shared" si="14"/>
        <v>-311.67179517527484</v>
      </c>
      <c r="I75" s="122">
        <f t="shared" si="14"/>
        <v>-195.00769276291226</v>
      </c>
      <c r="J75" s="122">
        <f t="shared" si="14"/>
        <v>-195.00769276291226</v>
      </c>
      <c r="K75" s="122">
        <f t="shared" si="14"/>
        <v>-195.00769276291226</v>
      </c>
      <c r="L75" s="122">
        <f t="shared" si="14"/>
        <v>-78.34359035054968</v>
      </c>
      <c r="M75" s="122">
        <f t="shared" si="14"/>
        <v>-78.34359035054968</v>
      </c>
      <c r="N75" s="122">
        <f t="shared" si="14"/>
        <v>-78.34359035054968</v>
      </c>
      <c r="O75" s="122">
        <f t="shared" si="14"/>
        <v>-428.3358975876374</v>
      </c>
      <c r="P75" s="122">
        <f t="shared" si="14"/>
        <v>-311.67179517527484</v>
      </c>
      <c r="Q75" s="122">
        <f t="shared" si="14"/>
        <v>-195.1679487938187</v>
      </c>
      <c r="R75" s="122">
        <f t="shared" si="14"/>
        <v>-78.34359035054968</v>
      </c>
      <c r="S75" s="165" t="s">
        <v>37</v>
      </c>
      <c r="T75" s="165" t="s">
        <v>37</v>
      </c>
      <c r="U75" s="165" t="s">
        <v>37</v>
      </c>
      <c r="V75" s="167" t="s">
        <v>37</v>
      </c>
    </row>
    <row r="76" spans="1:22" ht="12.75">
      <c r="A76" s="2"/>
      <c r="B76" s="34"/>
      <c r="C76" s="123" t="s">
        <v>35</v>
      </c>
      <c r="D76" s="34" t="s">
        <v>35</v>
      </c>
      <c r="E76" s="34" t="s">
        <v>35</v>
      </c>
      <c r="F76" s="34" t="s">
        <v>35</v>
      </c>
      <c r="G76" s="34" t="s">
        <v>35</v>
      </c>
      <c r="H76" s="34" t="s">
        <v>35</v>
      </c>
      <c r="I76" s="34" t="s">
        <v>35</v>
      </c>
      <c r="J76" s="34" t="s">
        <v>35</v>
      </c>
      <c r="K76" s="34" t="s">
        <v>35</v>
      </c>
      <c r="L76" s="34" t="s">
        <v>35</v>
      </c>
      <c r="M76" s="34" t="s">
        <v>35</v>
      </c>
      <c r="N76" s="34" t="s">
        <v>35</v>
      </c>
      <c r="O76" s="34" t="s">
        <v>35</v>
      </c>
      <c r="P76" s="34" t="s">
        <v>35</v>
      </c>
      <c r="Q76" s="34" t="s">
        <v>35</v>
      </c>
      <c r="R76" s="34" t="s">
        <v>35</v>
      </c>
      <c r="S76" s="34" t="s">
        <v>35</v>
      </c>
      <c r="T76" s="34" t="s">
        <v>35</v>
      </c>
      <c r="U76" s="34" t="s">
        <v>35</v>
      </c>
      <c r="V76" s="124" t="s">
        <v>35</v>
      </c>
    </row>
    <row r="77" spans="1:22" ht="13.5" thickBot="1">
      <c r="A77" s="35"/>
      <c r="C77" s="125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66" t="s">
        <v>37</v>
      </c>
      <c r="T77" s="166" t="s">
        <v>37</v>
      </c>
      <c r="U77" s="166" t="s">
        <v>37</v>
      </c>
      <c r="V77" s="168" t="s">
        <v>37</v>
      </c>
    </row>
    <row r="78" spans="1:22" ht="13.5" thickBot="1">
      <c r="A78" s="35"/>
      <c r="B78" s="8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ht="12.75">
      <c r="A79" s="35"/>
      <c r="B79" s="38" t="s">
        <v>13</v>
      </c>
      <c r="C79" s="127">
        <f>C$30-(C$38+$I$14)-I9</f>
        <v>0</v>
      </c>
      <c r="D79" s="128">
        <f aca="true" t="shared" si="15" ref="D79:R79">D30-D38-J9</f>
        <v>5.000000000000014</v>
      </c>
      <c r="E79" s="128">
        <f t="shared" si="15"/>
        <v>121.66410241236258</v>
      </c>
      <c r="F79" s="128">
        <f t="shared" si="15"/>
        <v>121.66410241236258</v>
      </c>
      <c r="G79" s="128">
        <f t="shared" si="15"/>
        <v>5.000000000000014</v>
      </c>
      <c r="H79" s="128">
        <f t="shared" si="15"/>
        <v>121.66410241236258</v>
      </c>
      <c r="I79" s="128">
        <f t="shared" si="15"/>
        <v>238.32820482472516</v>
      </c>
      <c r="J79" s="128">
        <f t="shared" si="15"/>
        <v>238.32820482472516</v>
      </c>
      <c r="K79" s="128">
        <f t="shared" si="15"/>
        <v>238.32820482472516</v>
      </c>
      <c r="L79" s="128">
        <f t="shared" si="15"/>
        <v>354.99230723708774</v>
      </c>
      <c r="M79" s="128">
        <f t="shared" si="15"/>
        <v>354.99230723708774</v>
      </c>
      <c r="N79" s="128">
        <f t="shared" si="15"/>
        <v>354.99230723708774</v>
      </c>
      <c r="O79" s="128">
        <f t="shared" si="15"/>
        <v>5.000000000000021</v>
      </c>
      <c r="P79" s="128">
        <f t="shared" si="15"/>
        <v>121.6641024123626</v>
      </c>
      <c r="Q79" s="128">
        <f t="shared" si="15"/>
        <v>238.1679487938187</v>
      </c>
      <c r="R79" s="128">
        <f t="shared" si="15"/>
        <v>354.99230723708774</v>
      </c>
      <c r="S79" s="169" t="s">
        <v>37</v>
      </c>
      <c r="T79" s="169" t="s">
        <v>37</v>
      </c>
      <c r="U79" s="169" t="s">
        <v>37</v>
      </c>
      <c r="V79" s="171" t="s">
        <v>37</v>
      </c>
    </row>
    <row r="80" spans="1:22" ht="12.75">
      <c r="A80" s="35"/>
      <c r="B80" s="34"/>
      <c r="C80" s="123" t="s">
        <v>39</v>
      </c>
      <c r="D80" s="34" t="s">
        <v>39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4" t="s">
        <v>39</v>
      </c>
      <c r="K80" s="34" t="s">
        <v>39</v>
      </c>
      <c r="L80" s="34" t="s">
        <v>39</v>
      </c>
      <c r="M80" s="34" t="s">
        <v>39</v>
      </c>
      <c r="N80" s="34" t="s">
        <v>39</v>
      </c>
      <c r="O80" s="34" t="s">
        <v>39</v>
      </c>
      <c r="P80" s="34" t="s">
        <v>39</v>
      </c>
      <c r="Q80" s="34" t="s">
        <v>39</v>
      </c>
      <c r="R80" s="34" t="s">
        <v>39</v>
      </c>
      <c r="S80" s="34" t="s">
        <v>39</v>
      </c>
      <c r="T80" s="34" t="s">
        <v>39</v>
      </c>
      <c r="U80" s="34" t="s">
        <v>39</v>
      </c>
      <c r="V80" s="124" t="s">
        <v>39</v>
      </c>
    </row>
    <row r="81" spans="1:22" ht="13.5" thickBot="1">
      <c r="A81" s="35"/>
      <c r="B81" s="34"/>
      <c r="C81" s="129">
        <v>0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70" t="s">
        <v>37</v>
      </c>
      <c r="T81" s="170" t="s">
        <v>37</v>
      </c>
      <c r="U81" s="170" t="s">
        <v>37</v>
      </c>
      <c r="V81" s="172" t="s">
        <v>37</v>
      </c>
    </row>
    <row r="82" spans="1:22" ht="12.75">
      <c r="A82" s="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>
      <c r="A83" s="2"/>
      <c r="B83" s="40" t="s">
        <v>59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>
      <c r="A84" s="2">
        <v>1</v>
      </c>
      <c r="B84" s="34" t="s">
        <v>58</v>
      </c>
      <c r="C84" s="34">
        <f aca="true" t="shared" si="16" ref="C84:R84">$E$7+($F$7-$E$7)*C$31</f>
        <v>4</v>
      </c>
      <c r="D84" s="34">
        <f t="shared" si="16"/>
        <v>4</v>
      </c>
      <c r="E84" s="34">
        <f t="shared" si="16"/>
        <v>4</v>
      </c>
      <c r="F84" s="34">
        <f t="shared" si="16"/>
        <v>4</v>
      </c>
      <c r="G84" s="34">
        <f t="shared" si="16"/>
        <v>4</v>
      </c>
      <c r="H84" s="34">
        <f t="shared" si="16"/>
        <v>4</v>
      </c>
      <c r="I84" s="34">
        <f t="shared" si="16"/>
        <v>8</v>
      </c>
      <c r="J84" s="34">
        <f t="shared" si="16"/>
        <v>8</v>
      </c>
      <c r="K84" s="34">
        <f t="shared" si="16"/>
        <v>4</v>
      </c>
      <c r="L84" s="34">
        <f t="shared" si="16"/>
        <v>4</v>
      </c>
      <c r="M84" s="34">
        <f t="shared" si="16"/>
        <v>4</v>
      </c>
      <c r="N84" s="34">
        <f t="shared" si="16"/>
        <v>8</v>
      </c>
      <c r="O84" s="34">
        <f t="shared" si="16"/>
        <v>4</v>
      </c>
      <c r="P84" s="34">
        <f t="shared" si="16"/>
        <v>8</v>
      </c>
      <c r="Q84" s="34">
        <f t="shared" si="16"/>
        <v>4</v>
      </c>
      <c r="R84" s="34">
        <f t="shared" si="16"/>
        <v>8</v>
      </c>
      <c r="S84" s="173" t="s">
        <v>37</v>
      </c>
      <c r="T84" s="173" t="s">
        <v>37</v>
      </c>
      <c r="U84" s="173" t="s">
        <v>37</v>
      </c>
      <c r="V84" s="173" t="s">
        <v>37</v>
      </c>
    </row>
    <row r="85" spans="1:22" ht="13.5" thickBot="1">
      <c r="A85" s="2">
        <v>2</v>
      </c>
      <c r="B85" s="34" t="s">
        <v>60</v>
      </c>
      <c r="C85" s="8">
        <f aca="true" t="shared" si="17" ref="C85:R85">$L$7+(($L$8-$L$7)/$I$10)*(C$30-C$38)</f>
        <v>12</v>
      </c>
      <c r="D85" s="8">
        <f t="shared" si="17"/>
        <v>12</v>
      </c>
      <c r="E85" s="8">
        <f t="shared" si="17"/>
        <v>12</v>
      </c>
      <c r="F85" s="8">
        <f t="shared" si="17"/>
        <v>12</v>
      </c>
      <c r="G85" s="8">
        <f t="shared" si="17"/>
        <v>12</v>
      </c>
      <c r="H85" s="8">
        <f t="shared" si="17"/>
        <v>12</v>
      </c>
      <c r="I85" s="8">
        <f t="shared" si="17"/>
        <v>12</v>
      </c>
      <c r="J85" s="8">
        <f t="shared" si="17"/>
        <v>12</v>
      </c>
      <c r="K85" s="8">
        <f t="shared" si="17"/>
        <v>12</v>
      </c>
      <c r="L85" s="8">
        <f t="shared" si="17"/>
        <v>12</v>
      </c>
      <c r="M85" s="8">
        <f t="shared" si="17"/>
        <v>12</v>
      </c>
      <c r="N85" s="8">
        <f t="shared" si="17"/>
        <v>12</v>
      </c>
      <c r="O85" s="8">
        <f t="shared" si="17"/>
        <v>12</v>
      </c>
      <c r="P85" s="8">
        <f t="shared" si="17"/>
        <v>12</v>
      </c>
      <c r="Q85" s="8">
        <f t="shared" si="17"/>
        <v>12</v>
      </c>
      <c r="R85" s="8">
        <f t="shared" si="17"/>
        <v>12</v>
      </c>
      <c r="S85" s="174" t="s">
        <v>37</v>
      </c>
      <c r="T85" s="174" t="s">
        <v>37</v>
      </c>
      <c r="U85" s="174" t="s">
        <v>37</v>
      </c>
      <c r="V85" s="174" t="s">
        <v>37</v>
      </c>
    </row>
    <row r="86" spans="2:22" ht="12.75">
      <c r="B86" s="51" t="s">
        <v>61</v>
      </c>
      <c r="C86" s="132">
        <f aca="true" t="shared" si="18" ref="C86:R86">C85-C84</f>
        <v>8</v>
      </c>
      <c r="D86" s="133">
        <f t="shared" si="18"/>
        <v>8</v>
      </c>
      <c r="E86" s="133">
        <f t="shared" si="18"/>
        <v>8</v>
      </c>
      <c r="F86" s="133">
        <f t="shared" si="18"/>
        <v>8</v>
      </c>
      <c r="G86" s="133">
        <f t="shared" si="18"/>
        <v>8</v>
      </c>
      <c r="H86" s="133">
        <f t="shared" si="18"/>
        <v>8</v>
      </c>
      <c r="I86" s="133">
        <f t="shared" si="18"/>
        <v>4</v>
      </c>
      <c r="J86" s="133">
        <f t="shared" si="18"/>
        <v>4</v>
      </c>
      <c r="K86" s="133">
        <f t="shared" si="18"/>
        <v>8</v>
      </c>
      <c r="L86" s="133">
        <f t="shared" si="18"/>
        <v>8</v>
      </c>
      <c r="M86" s="133">
        <f t="shared" si="18"/>
        <v>8</v>
      </c>
      <c r="N86" s="133">
        <f t="shared" si="18"/>
        <v>4</v>
      </c>
      <c r="O86" s="133">
        <f t="shared" si="18"/>
        <v>8</v>
      </c>
      <c r="P86" s="133">
        <f t="shared" si="18"/>
        <v>4</v>
      </c>
      <c r="Q86" s="133">
        <f t="shared" si="18"/>
        <v>8</v>
      </c>
      <c r="R86" s="133">
        <f t="shared" si="18"/>
        <v>4</v>
      </c>
      <c r="S86" s="150" t="s">
        <v>37</v>
      </c>
      <c r="T86" s="150" t="s">
        <v>37</v>
      </c>
      <c r="U86" s="150" t="s">
        <v>37</v>
      </c>
      <c r="V86" s="151" t="s">
        <v>37</v>
      </c>
    </row>
    <row r="87" spans="1:22" ht="12.75">
      <c r="A87" s="2"/>
      <c r="B87" s="34"/>
      <c r="C87" s="134" t="s">
        <v>39</v>
      </c>
      <c r="D87" s="7" t="s">
        <v>39</v>
      </c>
      <c r="E87" s="7" t="s">
        <v>39</v>
      </c>
      <c r="F87" s="7" t="s">
        <v>39</v>
      </c>
      <c r="G87" s="7" t="s">
        <v>39</v>
      </c>
      <c r="H87" s="7" t="s">
        <v>39</v>
      </c>
      <c r="I87" s="7" t="s">
        <v>39</v>
      </c>
      <c r="J87" s="7" t="s">
        <v>39</v>
      </c>
      <c r="K87" s="7" t="s">
        <v>39</v>
      </c>
      <c r="L87" s="7" t="s">
        <v>39</v>
      </c>
      <c r="M87" s="7" t="s">
        <v>39</v>
      </c>
      <c r="N87" s="7" t="s">
        <v>39</v>
      </c>
      <c r="O87" s="7" t="s">
        <v>39</v>
      </c>
      <c r="P87" s="7" t="s">
        <v>39</v>
      </c>
      <c r="Q87" s="7" t="s">
        <v>39</v>
      </c>
      <c r="R87" s="7" t="s">
        <v>39</v>
      </c>
      <c r="S87" s="7" t="s">
        <v>39</v>
      </c>
      <c r="T87" s="7" t="s">
        <v>39</v>
      </c>
      <c r="U87" s="7" t="s">
        <v>39</v>
      </c>
      <c r="V87" s="64" t="s">
        <v>39</v>
      </c>
    </row>
    <row r="88" spans="1:22" ht="13.5" thickBot="1">
      <c r="A88" s="2"/>
      <c r="C88" s="135">
        <v>0</v>
      </c>
      <c r="D88" s="131">
        <v>0</v>
      </c>
      <c r="E88" s="131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131">
        <v>0</v>
      </c>
      <c r="R88" s="131">
        <v>0</v>
      </c>
      <c r="S88" s="175" t="s">
        <v>37</v>
      </c>
      <c r="T88" s="175" t="s">
        <v>37</v>
      </c>
      <c r="U88" s="175" t="s">
        <v>37</v>
      </c>
      <c r="V88" s="176" t="s">
        <v>37</v>
      </c>
    </row>
    <row r="89" spans="1:11" ht="12.75">
      <c r="A89" s="2"/>
      <c r="B89" s="34"/>
      <c r="C89" s="34"/>
      <c r="D89" s="22"/>
      <c r="E89" s="21"/>
      <c r="F89" s="21"/>
      <c r="G89" s="21"/>
      <c r="H89" s="21"/>
      <c r="I89" s="21"/>
      <c r="J89" s="21"/>
      <c r="K89" s="2"/>
    </row>
    <row r="90" spans="1:11" ht="12.75">
      <c r="A90" s="2"/>
      <c r="C90" s="22"/>
      <c r="D90" s="22"/>
      <c r="E90" s="21"/>
      <c r="F90" s="21"/>
      <c r="G90" s="21"/>
      <c r="H90" s="21"/>
      <c r="I90" s="21"/>
      <c r="J90" s="21"/>
      <c r="K90" s="2"/>
    </row>
    <row r="91" spans="1:11" ht="12.75">
      <c r="A91" s="40" t="s">
        <v>46</v>
      </c>
      <c r="B91" s="40"/>
      <c r="C91" s="22"/>
      <c r="D91" s="22"/>
      <c r="E91" s="21"/>
      <c r="F91" s="21"/>
      <c r="G91" s="21"/>
      <c r="H91" s="21"/>
      <c r="I91" s="21"/>
      <c r="J91" s="21"/>
      <c r="K91" s="2"/>
    </row>
    <row r="92" spans="1:11" ht="13.5" thickBot="1">
      <c r="A92" s="2"/>
      <c r="B92" s="33" t="s">
        <v>50</v>
      </c>
      <c r="C92" s="22"/>
      <c r="D92" s="22"/>
      <c r="E92" s="33" t="s">
        <v>19</v>
      </c>
      <c r="F92" s="21"/>
      <c r="G92" s="21"/>
      <c r="H92" s="21"/>
      <c r="I92" s="21"/>
      <c r="J92" s="21"/>
      <c r="K92" s="2"/>
    </row>
    <row r="93" spans="1:11" ht="12.75">
      <c r="A93" s="2"/>
      <c r="B93" s="136" t="s">
        <v>48</v>
      </c>
      <c r="C93" s="137">
        <f>SUM(C32:R32)*C21</f>
        <v>180</v>
      </c>
      <c r="D93" s="34"/>
      <c r="E93" s="132" t="s">
        <v>45</v>
      </c>
      <c r="F93" s="137">
        <f>SUM(C31:R31)*F22</f>
        <v>1000</v>
      </c>
      <c r="G93" s="21"/>
      <c r="H93" s="21"/>
      <c r="I93" s="21"/>
      <c r="J93" s="21"/>
      <c r="K93" s="2"/>
    </row>
    <row r="94" spans="1:11" ht="13.5" thickBot="1">
      <c r="A94" s="2"/>
      <c r="B94" s="117" t="s">
        <v>49</v>
      </c>
      <c r="C94" s="138">
        <f>SUM(C33:R33)*C22</f>
        <v>400</v>
      </c>
      <c r="D94" s="34"/>
      <c r="E94" s="129" t="s">
        <v>44</v>
      </c>
      <c r="F94" s="139">
        <f>(J16-SUM(C31:R31))*F21</f>
        <v>220</v>
      </c>
      <c r="G94" s="21"/>
      <c r="H94" s="21"/>
      <c r="I94" s="21"/>
      <c r="J94" s="21"/>
      <c r="K94" s="2"/>
    </row>
    <row r="95" spans="1:11" ht="13.5" thickBot="1">
      <c r="A95" s="2"/>
      <c r="B95" s="119" t="s">
        <v>47</v>
      </c>
      <c r="C95" s="139">
        <f>SUM(C34:R34)*C23</f>
        <v>750</v>
      </c>
      <c r="D95" s="34"/>
      <c r="E95" s="34"/>
      <c r="F95" s="34"/>
      <c r="G95" s="21"/>
      <c r="H95" s="21"/>
      <c r="I95" s="21"/>
      <c r="J95" s="21"/>
      <c r="K95" s="2"/>
    </row>
    <row r="96" spans="1:11" ht="13.5" thickBot="1">
      <c r="A96" s="2"/>
      <c r="B96" s="21"/>
      <c r="C96" s="34"/>
      <c r="D96" s="34"/>
      <c r="E96" s="34"/>
      <c r="F96" s="34"/>
      <c r="G96" s="21"/>
      <c r="H96" s="21"/>
      <c r="I96" s="21"/>
      <c r="J96" s="21"/>
      <c r="K96" s="2"/>
    </row>
    <row r="97" spans="1:23" ht="13.5" thickBot="1">
      <c r="A97" s="2"/>
      <c r="B97" s="27" t="s">
        <v>4</v>
      </c>
      <c r="C97" s="25">
        <v>1</v>
      </c>
      <c r="D97" s="23">
        <v>2</v>
      </c>
      <c r="E97" s="23">
        <v>3</v>
      </c>
      <c r="F97" s="23">
        <v>4</v>
      </c>
      <c r="G97" s="23">
        <v>5</v>
      </c>
      <c r="H97" s="23">
        <v>6</v>
      </c>
      <c r="I97" s="23">
        <v>7</v>
      </c>
      <c r="J97" s="23">
        <v>8</v>
      </c>
      <c r="K97" s="23">
        <v>9</v>
      </c>
      <c r="L97" s="23">
        <v>10</v>
      </c>
      <c r="M97" s="23">
        <v>11</v>
      </c>
      <c r="N97" s="23">
        <v>12</v>
      </c>
      <c r="O97" s="23">
        <v>13</v>
      </c>
      <c r="P97" s="23">
        <v>14</v>
      </c>
      <c r="Q97" s="23">
        <v>15</v>
      </c>
      <c r="R97" s="23">
        <v>16</v>
      </c>
      <c r="S97" s="23">
        <v>17</v>
      </c>
      <c r="T97" s="23">
        <v>18</v>
      </c>
      <c r="U97" s="23">
        <v>19</v>
      </c>
      <c r="V97" s="24">
        <v>20</v>
      </c>
      <c r="W97" t="s">
        <v>62</v>
      </c>
    </row>
    <row r="98" spans="1:23" ht="12.75">
      <c r="A98" s="2"/>
      <c r="B98" s="33" t="s">
        <v>52</v>
      </c>
      <c r="C98" s="34">
        <f aca="true" t="shared" si="19" ref="C98:R98">$I$21-($I$24*(SQRT(POWER($I$8-C$29,2)+POWER(C$30-$I$9,2))))</f>
        <v>446.9102098564236</v>
      </c>
      <c r="D98" s="34">
        <f t="shared" si="19"/>
        <v>384.21072531457446</v>
      </c>
      <c r="E98" s="34">
        <f t="shared" si="19"/>
        <v>345.0942659329072</v>
      </c>
      <c r="F98" s="34">
        <f t="shared" si="19"/>
        <v>384.21072531457446</v>
      </c>
      <c r="G98" s="34">
        <f t="shared" si="19"/>
        <v>314.629363479807</v>
      </c>
      <c r="H98" s="34">
        <f t="shared" si="19"/>
        <v>287.9837194963805</v>
      </c>
      <c r="I98" s="34">
        <f t="shared" si="19"/>
        <v>314.629363479807</v>
      </c>
      <c r="J98" s="34">
        <f t="shared" si="19"/>
        <v>287.9837194963805</v>
      </c>
      <c r="K98" s="34">
        <f t="shared" si="19"/>
        <v>243.27832200939076</v>
      </c>
      <c r="L98" s="34">
        <f t="shared" si="19"/>
        <v>243.71134228635333</v>
      </c>
      <c r="M98" s="34">
        <f t="shared" si="19"/>
        <v>223.82522492568097</v>
      </c>
      <c r="N98" s="34">
        <f t="shared" si="19"/>
        <v>188.18655715464206</v>
      </c>
      <c r="O98" s="34">
        <f t="shared" si="19"/>
        <v>243.71134228635333</v>
      </c>
      <c r="P98" s="34">
        <f t="shared" si="19"/>
        <v>223.82522492568097</v>
      </c>
      <c r="Q98" s="34">
        <f t="shared" si="19"/>
        <v>188.24412134706733</v>
      </c>
      <c r="R98" s="34">
        <f t="shared" si="19"/>
        <v>141.46237808587432</v>
      </c>
      <c r="S98" s="173" t="s">
        <v>37</v>
      </c>
      <c r="T98" s="173" t="s">
        <v>37</v>
      </c>
      <c r="U98" s="173" t="s">
        <v>37</v>
      </c>
      <c r="V98" s="173" t="s">
        <v>37</v>
      </c>
      <c r="W98">
        <v>0.5</v>
      </c>
    </row>
    <row r="99" spans="1:23" ht="12.75">
      <c r="A99" s="2"/>
      <c r="B99" s="33" t="s">
        <v>78</v>
      </c>
      <c r="C99" s="34">
        <f aca="true" t="shared" si="20" ref="C99:R99">$I$22-($I$25*SQRT(POWER($I$10-C$30,2)+POWER(C$29-$I$7,2)))</f>
        <v>39.908671303841146</v>
      </c>
      <c r="D99" s="34">
        <f t="shared" si="20"/>
        <v>57.71267292247279</v>
      </c>
      <c r="E99" s="34">
        <f t="shared" si="20"/>
        <v>78.08965027515983</v>
      </c>
      <c r="F99" s="34">
        <f t="shared" si="20"/>
        <v>57.71267292247279</v>
      </c>
      <c r="G99" s="34">
        <f t="shared" si="20"/>
        <v>72.25055567541158</v>
      </c>
      <c r="H99" s="34">
        <f t="shared" si="20"/>
        <v>95.42289711219405</v>
      </c>
      <c r="I99" s="34">
        <f t="shared" si="20"/>
        <v>72.25055567541158</v>
      </c>
      <c r="J99" s="34">
        <f t="shared" si="20"/>
        <v>95.42289711219405</v>
      </c>
      <c r="K99" s="34">
        <f t="shared" si="20"/>
        <v>116.27062924647848</v>
      </c>
      <c r="L99" s="34">
        <f t="shared" si="20"/>
        <v>82.30571484212453</v>
      </c>
      <c r="M99" s="34">
        <f t="shared" si="20"/>
        <v>107.97611895823485</v>
      </c>
      <c r="N99" s="34">
        <f t="shared" si="20"/>
        <v>132.60095133933376</v>
      </c>
      <c r="O99" s="34">
        <f t="shared" si="20"/>
        <v>82.30571484212452</v>
      </c>
      <c r="P99" s="34">
        <f t="shared" si="20"/>
        <v>107.97611895823485</v>
      </c>
      <c r="Q99" s="34">
        <f t="shared" si="20"/>
        <v>132.56837147229692</v>
      </c>
      <c r="R99" s="34">
        <f t="shared" si="20"/>
        <v>154.45160821779714</v>
      </c>
      <c r="S99" s="173" t="s">
        <v>37</v>
      </c>
      <c r="T99" s="173" t="s">
        <v>37</v>
      </c>
      <c r="U99" s="173" t="s">
        <v>37</v>
      </c>
      <c r="V99" s="173" t="s">
        <v>37</v>
      </c>
      <c r="W99">
        <v>0.5</v>
      </c>
    </row>
    <row r="100" spans="1:11" ht="12.75">
      <c r="A100" s="2"/>
      <c r="B100" s="21"/>
      <c r="C100" s="34"/>
      <c r="D100" s="34"/>
      <c r="E100" s="34"/>
      <c r="F100" s="34"/>
      <c r="G100" s="21"/>
      <c r="H100" s="21"/>
      <c r="I100" s="21"/>
      <c r="J100" s="21"/>
      <c r="K100" s="2"/>
    </row>
    <row r="101" spans="1:6" ht="12.75">
      <c r="A101" s="2"/>
      <c r="C101" s="36"/>
      <c r="D101" s="36"/>
      <c r="E101" s="36"/>
      <c r="F101" s="36"/>
    </row>
    <row r="102" spans="2:11" ht="12.75">
      <c r="B102" t="s">
        <v>57</v>
      </c>
      <c r="C102" s="50">
        <f>SUM(C93:C95)+SUM(F93:F94)+W98*SUM(C98:R98)+W99*SUM(C99:R99)</f>
        <v>5523.561203133841</v>
      </c>
      <c r="D102" s="36"/>
      <c r="G102" s="141" t="s">
        <v>84</v>
      </c>
      <c r="J102" s="142">
        <f>'Boat Problem Doc'!C102/C102</f>
        <v>1.3284412293370653</v>
      </c>
      <c r="K102" t="s">
        <v>85</v>
      </c>
    </row>
    <row r="105" ht="12.75">
      <c r="B105" s="6"/>
    </row>
  </sheetData>
  <mergeCells count="2">
    <mergeCell ref="B15:C15"/>
    <mergeCell ref="B16:C16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Sloan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Team 8, 15.066J</dc:creator>
  <cp:keywords/>
  <dc:description/>
  <cp:lastModifiedBy>Matthew Palmer</cp:lastModifiedBy>
  <dcterms:created xsi:type="dcterms:W3CDTF">2003-07-22T18:24:48Z</dcterms:created>
  <dcterms:modified xsi:type="dcterms:W3CDTF">2004-03-07T23:24:04Z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2128074895</vt:i4>
  </property>
  <property fmtid="{D5CDD505-2E9C-101B-9397-08002B2CF9AE}" pid="3" name="_EmailSubject">
    <vt:lpwstr>Final Version of model and graphs : SystemsProject.xls</vt:lpwstr>
  </property>
  <property fmtid="{D5CDD505-2E9C-101B-9397-08002B2CF9AE}" pid="4" name="_AuthorEmail">
    <vt:lpwstr>pmingardi@comcast.net</vt:lpwstr>
  </property>
  <property fmtid="{D5CDD505-2E9C-101B-9397-08002B2CF9AE}" pid="5" name="_AuthorEmailDisplayName">
    <vt:lpwstr>Paul Mingardi</vt:lpwstr>
  </property>
  <property fmtid="{D5CDD505-2E9C-101B-9397-08002B2CF9AE}" pid="6" name="_ReviewingToolsShownOnce">
    <vt:lpwstr/>
  </property>
</Properties>
</file>