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7835" windowHeight="8955" activeTab="1"/>
  </bookViews>
  <sheets>
    <sheet name="data with WLC fits" sheetId="1" r:id="rId1"/>
    <sheet name="data" sheetId="2" r:id="rId2"/>
    <sheet name="Sheet2" sheetId="3" r:id="rId3"/>
    <sheet name="Sheet3" sheetId="4" r:id="rId4"/>
  </sheets>
  <definedNames>
    <definedName name="kT">'data'!$R$1</definedName>
    <definedName name="Lca">'data'!$J$2</definedName>
    <definedName name="Lcb">'data'!$J$11</definedName>
    <definedName name="Lcc">'data'!$J$23</definedName>
    <definedName name="Lcd">'data'!$J$35</definedName>
    <definedName name="Lce">'data'!$J$43</definedName>
    <definedName name="Lcf">'data'!$J$55</definedName>
    <definedName name="Lcg">'data'!$J$68</definedName>
    <definedName name="Lch">'data'!$J$86</definedName>
    <definedName name="na">'data'!$H$2</definedName>
    <definedName name="nb">'data'!$H$11</definedName>
    <definedName name="nc">'data'!$H$23</definedName>
    <definedName name="nd">'data'!$H$35</definedName>
    <definedName name="ne">'data'!$H$43</definedName>
    <definedName name="nf">'data'!$H$55</definedName>
    <definedName name="ng">'data'!$H$68</definedName>
    <definedName name="nh">'data'!$H$86</definedName>
    <definedName name="p">'data'!$J$1</definedName>
  </definedNames>
  <calcPr fullCalcOnLoad="1"/>
</workbook>
</file>

<file path=xl/sharedStrings.xml><?xml version="1.0" encoding="utf-8"?>
<sst xmlns="http://schemas.openxmlformats.org/spreadsheetml/2006/main" count="73" uniqueCount="52">
  <si>
    <t>separation [nm]</t>
  </si>
  <si>
    <t>Force [pN]</t>
  </si>
  <si>
    <t xml:space="preserve">Zauscher </t>
  </si>
  <si>
    <t>Figure 1c</t>
  </si>
  <si>
    <t>persistence length</t>
  </si>
  <si>
    <t xml:space="preserve">p </t>
  </si>
  <si>
    <t># of links per chain</t>
  </si>
  <si>
    <t>n</t>
  </si>
  <si>
    <t>Lcontour</t>
  </si>
  <si>
    <t>Lc</t>
  </si>
  <si>
    <t>na</t>
  </si>
  <si>
    <t>nb</t>
  </si>
  <si>
    <t>nc</t>
  </si>
  <si>
    <t>nd</t>
  </si>
  <si>
    <t>Lca</t>
  </si>
  <si>
    <t>Lcb</t>
  </si>
  <si>
    <t>Lcc</t>
  </si>
  <si>
    <t>Lcd</t>
  </si>
  <si>
    <t>ne</t>
  </si>
  <si>
    <t>Lce</t>
  </si>
  <si>
    <t>nf</t>
  </si>
  <si>
    <t>ng</t>
  </si>
  <si>
    <t>Lcg</t>
  </si>
  <si>
    <t>Lcf</t>
  </si>
  <si>
    <t>[nm]</t>
  </si>
  <si>
    <t>kT</t>
  </si>
  <si>
    <t>[J]</t>
  </si>
  <si>
    <t>fWLC [pN]</t>
  </si>
  <si>
    <t xml:space="preserve">r/Lc + 0.25(1-r/Lc)^-2 - 0.25 </t>
  </si>
  <si>
    <t>d</t>
  </si>
  <si>
    <t>separation - offset [nm]</t>
  </si>
  <si>
    <t xml:space="preserve">separation/Lc </t>
  </si>
  <si>
    <t>domain</t>
  </si>
  <si>
    <t>FN III</t>
  </si>
  <si>
    <t>GFP</t>
  </si>
  <si>
    <t>FN III ?</t>
  </si>
  <si>
    <t>curve</t>
  </si>
  <si>
    <t>domain type</t>
  </si>
  <si>
    <t>a</t>
  </si>
  <si>
    <t>b</t>
  </si>
  <si>
    <t>c</t>
  </si>
  <si>
    <t>e</t>
  </si>
  <si>
    <t>f</t>
  </si>
  <si>
    <t>g</t>
  </si>
  <si>
    <t>Lc fit</t>
  </si>
  <si>
    <t>Lc domain</t>
  </si>
  <si>
    <t>Lca domain</t>
  </si>
  <si>
    <t>mean n</t>
  </si>
  <si>
    <t>stdev n</t>
  </si>
  <si>
    <t>mean Lc domain</t>
  </si>
  <si>
    <t>stdev Lc domain</t>
  </si>
  <si>
    <t>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</si>
</sst>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Zauscher data with WLC fits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Force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data!$A$4:$A$89</c:f>
              <c:numCache>
                <c:ptCount val="86"/>
                <c:pt idx="0">
                  <c:v>8.762886597938145</c:v>
                </c:pt>
                <c:pt idx="1">
                  <c:v>13.402061855670103</c:v>
                </c:pt>
                <c:pt idx="2">
                  <c:v>19.072164948453608</c:v>
                </c:pt>
                <c:pt idx="3">
                  <c:v>21.1340206185567</c:v>
                </c:pt>
                <c:pt idx="4">
                  <c:v>23.711340206185568</c:v>
                </c:pt>
                <c:pt idx="5">
                  <c:v>24.742268041237114</c:v>
                </c:pt>
                <c:pt idx="6">
                  <c:v>25.257731958762886</c:v>
                </c:pt>
                <c:pt idx="8">
                  <c:v>27.835051546391753</c:v>
                </c:pt>
                <c:pt idx="9">
                  <c:v>31.443298969072167</c:v>
                </c:pt>
                <c:pt idx="10">
                  <c:v>33.50515463917526</c:v>
                </c:pt>
                <c:pt idx="11">
                  <c:v>37.11340206185567</c:v>
                </c:pt>
                <c:pt idx="12">
                  <c:v>38.65979381443299</c:v>
                </c:pt>
                <c:pt idx="13">
                  <c:v>39.69072164948454</c:v>
                </c:pt>
                <c:pt idx="14">
                  <c:v>41.23711340206186</c:v>
                </c:pt>
                <c:pt idx="15">
                  <c:v>41.75257731958763</c:v>
                </c:pt>
                <c:pt idx="16">
                  <c:v>42.78350515463918</c:v>
                </c:pt>
                <c:pt idx="17">
                  <c:v>42.78350515463918</c:v>
                </c:pt>
                <c:pt idx="18">
                  <c:v>43.29896907216495</c:v>
                </c:pt>
                <c:pt idx="20">
                  <c:v>44.84536082474227</c:v>
                </c:pt>
                <c:pt idx="21">
                  <c:v>46.391752577319586</c:v>
                </c:pt>
                <c:pt idx="22">
                  <c:v>47.93814432989691</c:v>
                </c:pt>
                <c:pt idx="23">
                  <c:v>48.96907216494846</c:v>
                </c:pt>
                <c:pt idx="24">
                  <c:v>49.48453608247423</c:v>
                </c:pt>
                <c:pt idx="25">
                  <c:v>50.51546391752577</c:v>
                </c:pt>
                <c:pt idx="26">
                  <c:v>51.54639175257732</c:v>
                </c:pt>
                <c:pt idx="27">
                  <c:v>52.06185567010309</c:v>
                </c:pt>
                <c:pt idx="28">
                  <c:v>53.09278350515464</c:v>
                </c:pt>
                <c:pt idx="29">
                  <c:v>53.608247422680414</c:v>
                </c:pt>
                <c:pt idx="30">
                  <c:v>54.123711340206185</c:v>
                </c:pt>
                <c:pt idx="32">
                  <c:v>58.24742268041237</c:v>
                </c:pt>
                <c:pt idx="33">
                  <c:v>60.82474226804124</c:v>
                </c:pt>
                <c:pt idx="34">
                  <c:v>62.886597938144334</c:v>
                </c:pt>
                <c:pt idx="35">
                  <c:v>64.43298969072166</c:v>
                </c:pt>
                <c:pt idx="36">
                  <c:v>65.97938144329898</c:v>
                </c:pt>
                <c:pt idx="37">
                  <c:v>67.5257731958763</c:v>
                </c:pt>
                <c:pt idx="38">
                  <c:v>68.04123711340206</c:v>
                </c:pt>
                <c:pt idx="40">
                  <c:v>72.68041237113403</c:v>
                </c:pt>
                <c:pt idx="41">
                  <c:v>77.83505154639175</c:v>
                </c:pt>
                <c:pt idx="42">
                  <c:v>87.62886597938144</c:v>
                </c:pt>
                <c:pt idx="43">
                  <c:v>96.3917525773196</c:v>
                </c:pt>
                <c:pt idx="44">
                  <c:v>102.57731958762886</c:v>
                </c:pt>
                <c:pt idx="45">
                  <c:v>107.7319587628866</c:v>
                </c:pt>
                <c:pt idx="46">
                  <c:v>112.88659793814433</c:v>
                </c:pt>
                <c:pt idx="47">
                  <c:v>119.58762886597938</c:v>
                </c:pt>
                <c:pt idx="48">
                  <c:v>121.1340206185567</c:v>
                </c:pt>
                <c:pt idx="49">
                  <c:v>123.1958762886598</c:v>
                </c:pt>
                <c:pt idx="50">
                  <c:v>124.22680412371135</c:v>
                </c:pt>
                <c:pt idx="52">
                  <c:v>130.9278350515464</c:v>
                </c:pt>
                <c:pt idx="53">
                  <c:v>136.5979381443299</c:v>
                </c:pt>
                <c:pt idx="54">
                  <c:v>141.75257731958763</c:v>
                </c:pt>
                <c:pt idx="55">
                  <c:v>143.81443298969072</c:v>
                </c:pt>
                <c:pt idx="56">
                  <c:v>148.96907216494847</c:v>
                </c:pt>
                <c:pt idx="57">
                  <c:v>156.70103092783506</c:v>
                </c:pt>
                <c:pt idx="58">
                  <c:v>169.0721649484536</c:v>
                </c:pt>
                <c:pt idx="59">
                  <c:v>170.61855670103094</c:v>
                </c:pt>
                <c:pt idx="60">
                  <c:v>175.77319587628867</c:v>
                </c:pt>
                <c:pt idx="61">
                  <c:v>179.89690721649484</c:v>
                </c:pt>
                <c:pt idx="62">
                  <c:v>182.98969072164948</c:v>
                </c:pt>
                <c:pt idx="63">
                  <c:v>185.0515463917526</c:v>
                </c:pt>
                <c:pt idx="65">
                  <c:v>187.62886597938146</c:v>
                </c:pt>
                <c:pt idx="66">
                  <c:v>191.75257731958763</c:v>
                </c:pt>
                <c:pt idx="67">
                  <c:v>196.39175257731958</c:v>
                </c:pt>
                <c:pt idx="68">
                  <c:v>201.03092783505156</c:v>
                </c:pt>
                <c:pt idx="69">
                  <c:v>204.63917525773198</c:v>
                </c:pt>
                <c:pt idx="70">
                  <c:v>207.7319587628866</c:v>
                </c:pt>
                <c:pt idx="71">
                  <c:v>210.30927835051546</c:v>
                </c:pt>
                <c:pt idx="72">
                  <c:v>212.88659793814435</c:v>
                </c:pt>
                <c:pt idx="73">
                  <c:v>214.94845360824743</c:v>
                </c:pt>
                <c:pt idx="74">
                  <c:v>215.97938144329896</c:v>
                </c:pt>
                <c:pt idx="75">
                  <c:v>218.55670103092785</c:v>
                </c:pt>
                <c:pt idx="76">
                  <c:v>219.58762886597938</c:v>
                </c:pt>
                <c:pt idx="77">
                  <c:v>221.13402061855672</c:v>
                </c:pt>
                <c:pt idx="78">
                  <c:v>223.1958762886598</c:v>
                </c:pt>
                <c:pt idx="79">
                  <c:v>225.77319587628867</c:v>
                </c:pt>
                <c:pt idx="80">
                  <c:v>227.83505154639175</c:v>
                </c:pt>
                <c:pt idx="81">
                  <c:v>229.89690721649484</c:v>
                </c:pt>
                <c:pt idx="83">
                  <c:v>243.81443298969072</c:v>
                </c:pt>
                <c:pt idx="84">
                  <c:v>271.64948453608247</c:v>
                </c:pt>
                <c:pt idx="85">
                  <c:v>296.9072164948454</c:v>
                </c:pt>
              </c:numCache>
            </c:numRef>
          </c:xVal>
          <c:yVal>
            <c:numRef>
              <c:f>data!$C$4:$C$89</c:f>
              <c:numCache>
                <c:ptCount val="86"/>
                <c:pt idx="0">
                  <c:v>4.705882352941177</c:v>
                </c:pt>
                <c:pt idx="1">
                  <c:v>14.117647058823529</c:v>
                </c:pt>
                <c:pt idx="2">
                  <c:v>23.529411764705884</c:v>
                </c:pt>
                <c:pt idx="3">
                  <c:v>42.35294117647059</c:v>
                </c:pt>
                <c:pt idx="4">
                  <c:v>63.529411764705884</c:v>
                </c:pt>
                <c:pt idx="5">
                  <c:v>82.3529411764706</c:v>
                </c:pt>
                <c:pt idx="6">
                  <c:v>101.17647058823529</c:v>
                </c:pt>
                <c:pt idx="8">
                  <c:v>42.35294117647059</c:v>
                </c:pt>
                <c:pt idx="9">
                  <c:v>51.76470588235294</c:v>
                </c:pt>
                <c:pt idx="10">
                  <c:v>63.529411764705884</c:v>
                </c:pt>
                <c:pt idx="11">
                  <c:v>77.64705882352942</c:v>
                </c:pt>
                <c:pt idx="12">
                  <c:v>96.47058823529412</c:v>
                </c:pt>
                <c:pt idx="13">
                  <c:v>124.70588235294117</c:v>
                </c:pt>
                <c:pt idx="14">
                  <c:v>148.23529411764707</c:v>
                </c:pt>
                <c:pt idx="15">
                  <c:v>174.11764705882354</c:v>
                </c:pt>
                <c:pt idx="16">
                  <c:v>204.7058823529412</c:v>
                </c:pt>
                <c:pt idx="17">
                  <c:v>225.88235294117646</c:v>
                </c:pt>
                <c:pt idx="18">
                  <c:v>244.7058823529412</c:v>
                </c:pt>
                <c:pt idx="20">
                  <c:v>82.3529411764706</c:v>
                </c:pt>
                <c:pt idx="21">
                  <c:v>94.11764705882354</c:v>
                </c:pt>
                <c:pt idx="22">
                  <c:v>112.94117647058823</c:v>
                </c:pt>
                <c:pt idx="23">
                  <c:v>138.8235294117647</c:v>
                </c:pt>
                <c:pt idx="24">
                  <c:v>162.35294117647058</c:v>
                </c:pt>
                <c:pt idx="25">
                  <c:v>183.52941176470588</c:v>
                </c:pt>
                <c:pt idx="26">
                  <c:v>207.05882352941177</c:v>
                </c:pt>
                <c:pt idx="27">
                  <c:v>247.05882352941177</c:v>
                </c:pt>
                <c:pt idx="28">
                  <c:v>282.3529411764706</c:v>
                </c:pt>
                <c:pt idx="29">
                  <c:v>320</c:v>
                </c:pt>
                <c:pt idx="30">
                  <c:v>350.5882352941177</c:v>
                </c:pt>
                <c:pt idx="32">
                  <c:v>51.76470588235294</c:v>
                </c:pt>
                <c:pt idx="33">
                  <c:v>63.529411764705884</c:v>
                </c:pt>
                <c:pt idx="34">
                  <c:v>72.94117647058823</c:v>
                </c:pt>
                <c:pt idx="35">
                  <c:v>91.76470588235294</c:v>
                </c:pt>
                <c:pt idx="36">
                  <c:v>108.23529411764706</c:v>
                </c:pt>
                <c:pt idx="37">
                  <c:v>124.70588235294117</c:v>
                </c:pt>
                <c:pt idx="38">
                  <c:v>138.8235294117647</c:v>
                </c:pt>
                <c:pt idx="40">
                  <c:v>30.58823529411765</c:v>
                </c:pt>
                <c:pt idx="41">
                  <c:v>30.58823529411765</c:v>
                </c:pt>
                <c:pt idx="42">
                  <c:v>40</c:v>
                </c:pt>
                <c:pt idx="43">
                  <c:v>42.35294117647059</c:v>
                </c:pt>
                <c:pt idx="44">
                  <c:v>51.76470588235294</c:v>
                </c:pt>
                <c:pt idx="45">
                  <c:v>58.82352941176471</c:v>
                </c:pt>
                <c:pt idx="46">
                  <c:v>65.88235294117648</c:v>
                </c:pt>
                <c:pt idx="47">
                  <c:v>89.41176470588236</c:v>
                </c:pt>
                <c:pt idx="48">
                  <c:v>103.52941176470588</c:v>
                </c:pt>
                <c:pt idx="49">
                  <c:v>117.64705882352942</c:v>
                </c:pt>
                <c:pt idx="50">
                  <c:v>138.8235294117647</c:v>
                </c:pt>
                <c:pt idx="52">
                  <c:v>23.529411764705884</c:v>
                </c:pt>
                <c:pt idx="53">
                  <c:v>30.58823529411765</c:v>
                </c:pt>
                <c:pt idx="54">
                  <c:v>32.94117647058824</c:v>
                </c:pt>
                <c:pt idx="55">
                  <c:v>35.294117647058826</c:v>
                </c:pt>
                <c:pt idx="56">
                  <c:v>40</c:v>
                </c:pt>
                <c:pt idx="57">
                  <c:v>40</c:v>
                </c:pt>
                <c:pt idx="58">
                  <c:v>54.11764705882353</c:v>
                </c:pt>
                <c:pt idx="59">
                  <c:v>68.23529411764706</c:v>
                </c:pt>
                <c:pt idx="60">
                  <c:v>82.3529411764706</c:v>
                </c:pt>
                <c:pt idx="61">
                  <c:v>103.52941176470588</c:v>
                </c:pt>
                <c:pt idx="62">
                  <c:v>122.3529411764706</c:v>
                </c:pt>
                <c:pt idx="63">
                  <c:v>136.47058823529412</c:v>
                </c:pt>
                <c:pt idx="65">
                  <c:v>70.58823529411765</c:v>
                </c:pt>
                <c:pt idx="66">
                  <c:v>82.3529411764706</c:v>
                </c:pt>
                <c:pt idx="67">
                  <c:v>108.23529411764706</c:v>
                </c:pt>
                <c:pt idx="68">
                  <c:v>136.47058823529412</c:v>
                </c:pt>
                <c:pt idx="69">
                  <c:v>167.05882352941177</c:v>
                </c:pt>
                <c:pt idx="70">
                  <c:v>195.29411764705884</c:v>
                </c:pt>
                <c:pt idx="71">
                  <c:v>223.52941176470588</c:v>
                </c:pt>
                <c:pt idx="72">
                  <c:v>258.8235294117647</c:v>
                </c:pt>
                <c:pt idx="73">
                  <c:v>280</c:v>
                </c:pt>
                <c:pt idx="74">
                  <c:v>305.88235294117646</c:v>
                </c:pt>
                <c:pt idx="75">
                  <c:v>345.88235294117646</c:v>
                </c:pt>
                <c:pt idx="76">
                  <c:v>364.70588235294116</c:v>
                </c:pt>
                <c:pt idx="77">
                  <c:v>421.1764705882353</c:v>
                </c:pt>
                <c:pt idx="78">
                  <c:v>503.5294117647059</c:v>
                </c:pt>
                <c:pt idx="79">
                  <c:v>661.1764705882354</c:v>
                </c:pt>
                <c:pt idx="80">
                  <c:v>863.5294117647059</c:v>
                </c:pt>
                <c:pt idx="81">
                  <c:v>964.7058823529412</c:v>
                </c:pt>
                <c:pt idx="83">
                  <c:v>-2.3529411764705883</c:v>
                </c:pt>
                <c:pt idx="84">
                  <c:v>2.3529411764705883</c:v>
                </c:pt>
                <c:pt idx="85">
                  <c:v>9.411764705882353</c:v>
                </c:pt>
              </c:numCache>
            </c:numRef>
          </c:yVal>
          <c:smooth val="0"/>
        </c:ser>
        <c:ser>
          <c:idx val="1"/>
          <c:order val="1"/>
          <c:tx>
            <c:v>curve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data!$A$4:$A$10</c:f>
              <c:numCache>
                <c:ptCount val="7"/>
                <c:pt idx="0">
                  <c:v>8.762886597938145</c:v>
                </c:pt>
                <c:pt idx="1">
                  <c:v>13.402061855670103</c:v>
                </c:pt>
                <c:pt idx="2">
                  <c:v>19.072164948453608</c:v>
                </c:pt>
                <c:pt idx="3">
                  <c:v>21.1340206185567</c:v>
                </c:pt>
                <c:pt idx="4">
                  <c:v>23.711340206185568</c:v>
                </c:pt>
                <c:pt idx="5">
                  <c:v>24.742268041237114</c:v>
                </c:pt>
                <c:pt idx="6">
                  <c:v>25.257731958762886</c:v>
                </c:pt>
              </c:numCache>
            </c:numRef>
          </c:xVal>
          <c:yVal>
            <c:numRef>
              <c:f>data!$E$4:$E$10</c:f>
              <c:numCache>
                <c:ptCount val="7"/>
                <c:pt idx="0">
                  <c:v>5.2265369814403835</c:v>
                </c:pt>
                <c:pt idx="1">
                  <c:v>9.757452453482639</c:v>
                </c:pt>
                <c:pt idx="2">
                  <c:v>21.60999222095447</c:v>
                </c:pt>
                <c:pt idx="3">
                  <c:v>31.296295602538752</c:v>
                </c:pt>
                <c:pt idx="4">
                  <c:v>57.57273049311607</c:v>
                </c:pt>
                <c:pt idx="5">
                  <c:v>79.38316883909464</c:v>
                </c:pt>
                <c:pt idx="6">
                  <c:v>95.61810730748641</c:v>
                </c:pt>
              </c:numCache>
            </c:numRef>
          </c:yVal>
          <c:smooth val="0"/>
        </c:ser>
        <c:ser>
          <c:idx val="2"/>
          <c:order val="2"/>
          <c:tx>
            <c:v>curve 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data!$A$12:$A$22</c:f>
              <c:numCache>
                <c:ptCount val="11"/>
                <c:pt idx="0">
                  <c:v>27.835051546391753</c:v>
                </c:pt>
                <c:pt idx="1">
                  <c:v>31.443298969072167</c:v>
                </c:pt>
                <c:pt idx="2">
                  <c:v>33.50515463917526</c:v>
                </c:pt>
                <c:pt idx="3">
                  <c:v>37.11340206185567</c:v>
                </c:pt>
                <c:pt idx="4">
                  <c:v>38.65979381443299</c:v>
                </c:pt>
                <c:pt idx="5">
                  <c:v>39.69072164948454</c:v>
                </c:pt>
                <c:pt idx="6">
                  <c:v>41.23711340206186</c:v>
                </c:pt>
                <c:pt idx="7">
                  <c:v>41.75257731958763</c:v>
                </c:pt>
                <c:pt idx="8">
                  <c:v>42.78350515463918</c:v>
                </c:pt>
                <c:pt idx="9">
                  <c:v>42.78350515463918</c:v>
                </c:pt>
                <c:pt idx="10">
                  <c:v>43.29896907216495</c:v>
                </c:pt>
              </c:numCache>
            </c:numRef>
          </c:xVal>
          <c:yVal>
            <c:numRef>
              <c:f>data!$E$12:$E$22</c:f>
              <c:numCache>
                <c:ptCount val="11"/>
                <c:pt idx="0">
                  <c:v>18.885663220453537</c:v>
                </c:pt>
                <c:pt idx="1">
                  <c:v>28.124422359409582</c:v>
                </c:pt>
                <c:pt idx="2">
                  <c:v>36.96145752047804</c:v>
                </c:pt>
                <c:pt idx="3">
                  <c:v>68.49078907193106</c:v>
                </c:pt>
                <c:pt idx="4">
                  <c:v>97.34858706062924</c:v>
                </c:pt>
                <c:pt idx="5">
                  <c:v>128.8859353983821</c:v>
                </c:pt>
                <c:pt idx="6">
                  <c:v>217.76278027394883</c:v>
                </c:pt>
                <c:pt idx="7">
                  <c:v>269.7367909787306</c:v>
                </c:pt>
                <c:pt idx="8">
                  <c:v>452.86880882202377</c:v>
                </c:pt>
                <c:pt idx="9">
                  <c:v>452.86880882202377</c:v>
                </c:pt>
                <c:pt idx="10">
                  <c:v>625.655943827743</c:v>
                </c:pt>
              </c:numCache>
            </c:numRef>
          </c:yVal>
          <c:smooth val="0"/>
        </c:ser>
        <c:ser>
          <c:idx val="3"/>
          <c:order val="3"/>
          <c:tx>
            <c:v>curve 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data!$A$24:$A$34</c:f>
              <c:numCache>
                <c:ptCount val="11"/>
                <c:pt idx="0">
                  <c:v>44.84536082474227</c:v>
                </c:pt>
                <c:pt idx="1">
                  <c:v>46.391752577319586</c:v>
                </c:pt>
                <c:pt idx="2">
                  <c:v>47.93814432989691</c:v>
                </c:pt>
                <c:pt idx="3">
                  <c:v>48.96907216494846</c:v>
                </c:pt>
                <c:pt idx="4">
                  <c:v>49.48453608247423</c:v>
                </c:pt>
                <c:pt idx="5">
                  <c:v>50.51546391752577</c:v>
                </c:pt>
                <c:pt idx="6">
                  <c:v>51.54639175257732</c:v>
                </c:pt>
                <c:pt idx="7">
                  <c:v>52.06185567010309</c:v>
                </c:pt>
                <c:pt idx="8">
                  <c:v>53.09278350515464</c:v>
                </c:pt>
                <c:pt idx="9">
                  <c:v>53.608247422680414</c:v>
                </c:pt>
                <c:pt idx="10">
                  <c:v>54.123711340206185</c:v>
                </c:pt>
              </c:numCache>
            </c:numRef>
          </c:xVal>
          <c:yVal>
            <c:numRef>
              <c:f>data!$E$24:$E$34</c:f>
              <c:numCache>
                <c:ptCount val="11"/>
                <c:pt idx="0">
                  <c:v>52.779686921939714</c:v>
                </c:pt>
                <c:pt idx="1">
                  <c:v>66.6357562832313</c:v>
                </c:pt>
                <c:pt idx="2">
                  <c:v>87.26072549865353</c:v>
                </c:pt>
                <c:pt idx="3">
                  <c:v>107.22682893432135</c:v>
                </c:pt>
                <c:pt idx="4">
                  <c:v>120.02514620090773</c:v>
                </c:pt>
                <c:pt idx="5">
                  <c:v>153.9975131017891</c:v>
                </c:pt>
                <c:pt idx="6">
                  <c:v>205.5500157339717</c:v>
                </c:pt>
                <c:pt idx="7">
                  <c:v>241.9959915858961</c:v>
                </c:pt>
                <c:pt idx="8">
                  <c:v>352.57648715877434</c:v>
                </c:pt>
                <c:pt idx="9">
                  <c:v>439.50378861389527</c:v>
                </c:pt>
                <c:pt idx="10">
                  <c:v>563.7440215666221</c:v>
                </c:pt>
              </c:numCache>
            </c:numRef>
          </c:yVal>
          <c:smooth val="0"/>
        </c:ser>
        <c:ser>
          <c:idx val="4"/>
          <c:order val="4"/>
          <c:tx>
            <c:v>curve 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data!$A$36:$A$42</c:f>
              <c:numCache>
                <c:ptCount val="7"/>
                <c:pt idx="0">
                  <c:v>58.24742268041237</c:v>
                </c:pt>
                <c:pt idx="1">
                  <c:v>60.82474226804124</c:v>
                </c:pt>
                <c:pt idx="2">
                  <c:v>62.886597938144334</c:v>
                </c:pt>
                <c:pt idx="3">
                  <c:v>64.43298969072166</c:v>
                </c:pt>
                <c:pt idx="4">
                  <c:v>65.97938144329898</c:v>
                </c:pt>
                <c:pt idx="5">
                  <c:v>67.5257731958763</c:v>
                </c:pt>
                <c:pt idx="6">
                  <c:v>68.04123711340206</c:v>
                </c:pt>
              </c:numCache>
            </c:numRef>
          </c:xVal>
          <c:yVal>
            <c:numRef>
              <c:f>data!$E$36:$E$42</c:f>
              <c:numCache>
                <c:ptCount val="7"/>
                <c:pt idx="0">
                  <c:v>45.15314774815371</c:v>
                </c:pt>
                <c:pt idx="1">
                  <c:v>59.0697296104447</c:v>
                </c:pt>
                <c:pt idx="2">
                  <c:v>75.85615469942213</c:v>
                </c:pt>
                <c:pt idx="3">
                  <c:v>94.00754855209713</c:v>
                </c:pt>
                <c:pt idx="4">
                  <c:v>120.02514620090773</c:v>
                </c:pt>
                <c:pt idx="5">
                  <c:v>159.2767082068894</c:v>
                </c:pt>
                <c:pt idx="6">
                  <c:v>176.91243997265514</c:v>
                </c:pt>
              </c:numCache>
            </c:numRef>
          </c:yVal>
          <c:smooth val="0"/>
        </c:ser>
        <c:ser>
          <c:idx val="5"/>
          <c:order val="5"/>
          <c:tx>
            <c:v>curve 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data!$A$44:$A$54</c:f>
              <c:numCache>
                <c:ptCount val="11"/>
                <c:pt idx="0">
                  <c:v>72.68041237113403</c:v>
                </c:pt>
                <c:pt idx="1">
                  <c:v>77.83505154639175</c:v>
                </c:pt>
                <c:pt idx="2">
                  <c:v>87.62886597938144</c:v>
                </c:pt>
                <c:pt idx="3">
                  <c:v>96.3917525773196</c:v>
                </c:pt>
                <c:pt idx="4">
                  <c:v>102.57731958762886</c:v>
                </c:pt>
                <c:pt idx="5">
                  <c:v>107.7319587628866</c:v>
                </c:pt>
                <c:pt idx="6">
                  <c:v>112.88659793814433</c:v>
                </c:pt>
                <c:pt idx="7">
                  <c:v>119.58762886597938</c:v>
                </c:pt>
                <c:pt idx="8">
                  <c:v>121.1340206185567</c:v>
                </c:pt>
                <c:pt idx="9">
                  <c:v>123.1958762886598</c:v>
                </c:pt>
                <c:pt idx="10">
                  <c:v>124.22680412371135</c:v>
                </c:pt>
              </c:numCache>
            </c:numRef>
          </c:xVal>
          <c:yVal>
            <c:numRef>
              <c:f>data!$E$44:$E$54</c:f>
              <c:numCache>
                <c:ptCount val="11"/>
                <c:pt idx="0">
                  <c:v>13.126662009851227</c:v>
                </c:pt>
                <c:pt idx="1">
                  <c:v>15.29201558652382</c:v>
                </c:pt>
                <c:pt idx="2">
                  <c:v>20.981601812869656</c:v>
                </c:pt>
                <c:pt idx="3">
                  <c:v>29.200019148228133</c:v>
                </c:pt>
                <c:pt idx="4">
                  <c:v>38.48256959358609</c:v>
                </c:pt>
                <c:pt idx="5">
                  <c:v>50.389652036929014</c:v>
                </c:pt>
                <c:pt idx="6">
                  <c:v>69.41429808368568</c:v>
                </c:pt>
                <c:pt idx="7">
                  <c:v>118.04342819957265</c:v>
                </c:pt>
                <c:pt idx="8">
                  <c:v>137.0010359606645</c:v>
                </c:pt>
                <c:pt idx="9">
                  <c:v>170.67604486828452</c:v>
                </c:pt>
                <c:pt idx="10">
                  <c:v>192.56017843720895</c:v>
                </c:pt>
              </c:numCache>
            </c:numRef>
          </c:yVal>
          <c:smooth val="0"/>
        </c:ser>
        <c:ser>
          <c:idx val="6"/>
          <c:order val="6"/>
          <c:tx>
            <c:v>curve 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data!$A$56:$A$67</c:f>
              <c:numCache>
                <c:ptCount val="12"/>
                <c:pt idx="0">
                  <c:v>130.9278350515464</c:v>
                </c:pt>
                <c:pt idx="1">
                  <c:v>136.5979381443299</c:v>
                </c:pt>
                <c:pt idx="2">
                  <c:v>141.75257731958763</c:v>
                </c:pt>
                <c:pt idx="3">
                  <c:v>143.81443298969072</c:v>
                </c:pt>
                <c:pt idx="4">
                  <c:v>148.96907216494847</c:v>
                </c:pt>
                <c:pt idx="5">
                  <c:v>156.70103092783506</c:v>
                </c:pt>
                <c:pt idx="6">
                  <c:v>169.0721649484536</c:v>
                </c:pt>
                <c:pt idx="7">
                  <c:v>170.61855670103094</c:v>
                </c:pt>
                <c:pt idx="8">
                  <c:v>175.77319587628867</c:v>
                </c:pt>
                <c:pt idx="9">
                  <c:v>179.89690721649484</c:v>
                </c:pt>
                <c:pt idx="10">
                  <c:v>182.98969072164948</c:v>
                </c:pt>
                <c:pt idx="11">
                  <c:v>185.0515463917526</c:v>
                </c:pt>
              </c:numCache>
            </c:numRef>
          </c:xVal>
          <c:yVal>
            <c:numRef>
              <c:f>data!$E$56:$E$67</c:f>
              <c:numCache>
                <c:ptCount val="12"/>
                <c:pt idx="0">
                  <c:v>20.36715771206049</c:v>
                </c:pt>
                <c:pt idx="1">
                  <c:v>23.257137961920503</c:v>
                </c:pt>
                <c:pt idx="2">
                  <c:v>26.46010215529726</c:v>
                </c:pt>
                <c:pt idx="3">
                  <c:v>27.93469976357699</c:v>
                </c:pt>
                <c:pt idx="4">
                  <c:v>32.23602344229275</c:v>
                </c:pt>
                <c:pt idx="5">
                  <c:v>40.9637079139156</c:v>
                </c:pt>
                <c:pt idx="6">
                  <c:v>65.5923962491357</c:v>
                </c:pt>
                <c:pt idx="7">
                  <c:v>70.28616226475368</c:v>
                </c:pt>
                <c:pt idx="8">
                  <c:v>90.48211205735102</c:v>
                </c:pt>
                <c:pt idx="9">
                  <c:v>114.10920163887162</c:v>
                </c:pt>
                <c:pt idx="10">
                  <c:v>138.84901286484745</c:v>
                </c:pt>
                <c:pt idx="11">
                  <c:v>160.3140033345293</c:v>
                </c:pt>
              </c:numCache>
            </c:numRef>
          </c:yVal>
          <c:smooth val="0"/>
        </c:ser>
        <c:ser>
          <c:idx val="7"/>
          <c:order val="7"/>
          <c:tx>
            <c:v>curve 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data!$A$69:$A$85</c:f>
              <c:numCache>
                <c:ptCount val="17"/>
                <c:pt idx="0">
                  <c:v>187.62886597938146</c:v>
                </c:pt>
                <c:pt idx="1">
                  <c:v>191.75257731958763</c:v>
                </c:pt>
                <c:pt idx="2">
                  <c:v>196.39175257731958</c:v>
                </c:pt>
                <c:pt idx="3">
                  <c:v>201.03092783505156</c:v>
                </c:pt>
                <c:pt idx="4">
                  <c:v>204.63917525773198</c:v>
                </c:pt>
                <c:pt idx="5">
                  <c:v>207.7319587628866</c:v>
                </c:pt>
                <c:pt idx="6">
                  <c:v>210.30927835051546</c:v>
                </c:pt>
                <c:pt idx="7">
                  <c:v>212.88659793814435</c:v>
                </c:pt>
                <c:pt idx="8">
                  <c:v>214.94845360824743</c:v>
                </c:pt>
                <c:pt idx="9">
                  <c:v>215.97938144329896</c:v>
                </c:pt>
                <c:pt idx="10">
                  <c:v>218.55670103092785</c:v>
                </c:pt>
                <c:pt idx="11">
                  <c:v>219.58762886597938</c:v>
                </c:pt>
                <c:pt idx="12">
                  <c:v>221.13402061855672</c:v>
                </c:pt>
                <c:pt idx="13">
                  <c:v>223.1958762886598</c:v>
                </c:pt>
                <c:pt idx="14">
                  <c:v>225.77319587628867</c:v>
                </c:pt>
                <c:pt idx="15">
                  <c:v>227.83505154639175</c:v>
                </c:pt>
                <c:pt idx="16">
                  <c:v>229.89690721649484</c:v>
                </c:pt>
              </c:numCache>
            </c:numRef>
          </c:xVal>
          <c:yVal>
            <c:numRef>
              <c:f>data!$E$69:$E$85</c:f>
              <c:numCache>
                <c:ptCount val="17"/>
                <c:pt idx="0">
                  <c:v>64.16014227765925</c:v>
                </c:pt>
                <c:pt idx="1">
                  <c:v>75.91077540951754</c:v>
                </c:pt>
                <c:pt idx="2">
                  <c:v>93.74043813374468</c:v>
                </c:pt>
                <c:pt idx="3">
                  <c:v>119.13390465684002</c:v>
                </c:pt>
                <c:pt idx="4">
                  <c:v>147.19828651302151</c:v>
                </c:pt>
                <c:pt idx="5">
                  <c:v>180.37190504269208</c:v>
                </c:pt>
                <c:pt idx="6">
                  <c:v>217.76278027394798</c:v>
                </c:pt>
                <c:pt idx="7">
                  <c:v>268.54173103317726</c:v>
                </c:pt>
                <c:pt idx="8">
                  <c:v>323.53338023246124</c:v>
                </c:pt>
                <c:pt idx="9">
                  <c:v>357.7352388262794</c:v>
                </c:pt>
                <c:pt idx="10">
                  <c:v>471.95715450249213</c:v>
                </c:pt>
                <c:pt idx="11">
                  <c:v>533.7697535867529</c:v>
                </c:pt>
                <c:pt idx="12">
                  <c:v>652.3801804540235</c:v>
                </c:pt>
                <c:pt idx="13">
                  <c:v>884.5496262548508</c:v>
                </c:pt>
                <c:pt idx="14">
                  <c:v>1404.2733826894073</c:v>
                </c:pt>
                <c:pt idx="15">
                  <c:v>2242.564376315024</c:v>
                </c:pt>
                <c:pt idx="16">
                  <c:v>4143.625044645659</c:v>
                </c:pt>
              </c:numCache>
            </c:numRef>
          </c:yVal>
          <c:smooth val="0"/>
        </c:ser>
        <c:ser>
          <c:idx val="8"/>
          <c:order val="8"/>
          <c:tx>
            <c:v>curve 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data!$A$87:$A$89</c:f>
              <c:numCache>
                <c:ptCount val="3"/>
                <c:pt idx="0">
                  <c:v>243.81443298969072</c:v>
                </c:pt>
                <c:pt idx="1">
                  <c:v>271.64948453608247</c:v>
                </c:pt>
                <c:pt idx="2">
                  <c:v>296.9072164948454</c:v>
                </c:pt>
              </c:numCache>
            </c:numRef>
          </c:xVal>
          <c:yVal>
            <c:numRef>
              <c:f>data!$E$87:$E$89</c:f>
              <c:numCache>
                <c:ptCount val="3"/>
              </c:numCache>
            </c:numRef>
          </c:yVal>
          <c:smooth val="0"/>
        </c:ser>
        <c:axId val="28625906"/>
        <c:axId val="56306563"/>
      </c:scatterChart>
      <c:valAx>
        <c:axId val="28625906"/>
        <c:scaling>
          <c:orientation val="minMax"/>
          <c:max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separation distance [nm]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306563"/>
        <c:crosses val="autoZero"/>
        <c:crossBetween val="midCat"/>
        <c:dispUnits/>
      </c:valAx>
      <c:valAx>
        <c:axId val="56306563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Force [pN]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62590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Master Curve for FN-III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data!$A$3</c:f>
              <c:numCache/>
            </c:numRef>
          </c:xVal>
          <c:yVal>
            <c:numRef>
              <c:f>data!$B$3</c:f>
              <c:numCache/>
            </c:numRef>
          </c:yVal>
          <c:smooth val="0"/>
        </c:ser>
        <c:ser>
          <c:idx val="1"/>
          <c:order val="1"/>
          <c:tx>
            <c:v>curve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data!$F$4:$F$10</c:f>
              <c:numCache/>
            </c:numRef>
          </c:xVal>
          <c:yVal>
            <c:numRef>
              <c:f>data!$C$4:$C$10</c:f>
              <c:numCache/>
            </c:numRef>
          </c:yVal>
          <c:smooth val="0"/>
        </c:ser>
        <c:ser>
          <c:idx val="2"/>
          <c:order val="2"/>
          <c:tx>
            <c:v>curve 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data!$F$12:$F$22</c:f>
              <c:numCache/>
            </c:numRef>
          </c:xVal>
          <c:yVal>
            <c:numRef>
              <c:f>data!$C$12:$C$22</c:f>
              <c:numCache/>
            </c:numRef>
          </c:yVal>
          <c:smooth val="0"/>
        </c:ser>
        <c:ser>
          <c:idx val="3"/>
          <c:order val="3"/>
          <c:tx>
            <c:v>curve 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data!$F$24:$F$34</c:f>
              <c:numCache/>
            </c:numRef>
          </c:xVal>
          <c:yVal>
            <c:numRef>
              <c:f>data!$C$24:$C$34</c:f>
              <c:numCache/>
            </c:numRef>
          </c:yVal>
          <c:smooth val="0"/>
        </c:ser>
        <c:ser>
          <c:idx val="4"/>
          <c:order val="4"/>
          <c:tx>
            <c:v>curve 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data!$F$36:$F$42</c:f>
              <c:numCache/>
            </c:numRef>
          </c:xVal>
          <c:yVal>
            <c:numRef>
              <c:f>data!$C$36:$C$42</c:f>
              <c:numCache/>
            </c:numRef>
          </c:yVal>
          <c:smooth val="0"/>
        </c:ser>
        <c:ser>
          <c:idx val="5"/>
          <c:order val="5"/>
          <c:tx>
            <c:v>curve 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800000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data!$F$69:$F$85</c:f>
              <c:numCache/>
            </c:numRef>
          </c:xVal>
          <c:yVal>
            <c:numRef>
              <c:f>data!$C$69:$C$85</c:f>
              <c:numCache/>
            </c:numRef>
          </c:yVal>
          <c:smooth val="0"/>
        </c:ser>
        <c:axId val="36997020"/>
        <c:axId val="64537725"/>
      </c:scatterChart>
      <c:valAx>
        <c:axId val="36997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separation distance / Lcontour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537725"/>
        <c:crosses val="autoZero"/>
        <c:crossBetween val="midCat"/>
        <c:dispUnits/>
      </c:valAx>
      <c:valAx>
        <c:axId val="645377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Force [pN]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99702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Master Curve for GFP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curve 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data!$F$44:$F$54</c:f>
              <c:numCache/>
            </c:numRef>
          </c:xVal>
          <c:yVal>
            <c:numRef>
              <c:f>data!$C$44:$C$54</c:f>
              <c:numCache/>
            </c:numRef>
          </c:yVal>
          <c:smooth val="0"/>
        </c:ser>
        <c:ser>
          <c:idx val="1"/>
          <c:order val="1"/>
          <c:tx>
            <c:v>curve 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33CCCC"/>
                </a:solidFill>
              </a:ln>
            </c:spPr>
          </c:marker>
          <c:xVal>
            <c:numRef>
              <c:f>data!$F$56:$F$67</c:f>
              <c:numCache/>
            </c:numRef>
          </c:xVal>
          <c:yVal>
            <c:numRef>
              <c:f>data!$C$56:$C$67</c:f>
              <c:numCache/>
            </c:numRef>
          </c:yVal>
          <c:smooth val="0"/>
        </c:ser>
        <c:axId val="43968614"/>
        <c:axId val="60173207"/>
      </c:scatterChart>
      <c:valAx>
        <c:axId val="439686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separation distance / Lcontour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173207"/>
        <c:crosses val="autoZero"/>
        <c:crossBetween val="midCat"/>
        <c:dispUnits/>
      </c:valAx>
      <c:valAx>
        <c:axId val="601732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Force [pN]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96861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pageSetup horizontalDpi="1200" verticalDpi="12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16</xdr:row>
      <xdr:rowOff>19050</xdr:rowOff>
    </xdr:from>
    <xdr:to>
      <xdr:col>16</xdr:col>
      <xdr:colOff>323850</xdr:colOff>
      <xdr:row>33</xdr:row>
      <xdr:rowOff>95250</xdr:rowOff>
    </xdr:to>
    <xdr:graphicFrame>
      <xdr:nvGraphicFramePr>
        <xdr:cNvPr id="1" name="Chart 4"/>
        <xdr:cNvGraphicFramePr/>
      </xdr:nvGraphicFramePr>
      <xdr:xfrm>
        <a:off x="5876925" y="2628900"/>
        <a:ext cx="588645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142875</xdr:colOff>
      <xdr:row>35</xdr:row>
      <xdr:rowOff>28575</xdr:rowOff>
    </xdr:from>
    <xdr:to>
      <xdr:col>16</xdr:col>
      <xdr:colOff>352425</xdr:colOff>
      <xdr:row>52</xdr:row>
      <xdr:rowOff>104775</xdr:rowOff>
    </xdr:to>
    <xdr:graphicFrame>
      <xdr:nvGraphicFramePr>
        <xdr:cNvPr id="2" name="Chart 5"/>
        <xdr:cNvGraphicFramePr/>
      </xdr:nvGraphicFramePr>
      <xdr:xfrm>
        <a:off x="5905500" y="5715000"/>
        <a:ext cx="5886450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9"/>
  <sheetViews>
    <sheetView tabSelected="1" workbookViewId="0" topLeftCell="A1">
      <selection activeCell="Q14" sqref="Q14:R14"/>
    </sheetView>
  </sheetViews>
  <sheetFormatPr defaultColWidth="9.140625" defaultRowHeight="12.75"/>
  <cols>
    <col min="1" max="1" width="14.00390625" style="0" bestFit="1" customWidth="1"/>
    <col min="2" max="2" width="14.00390625" style="0" customWidth="1"/>
    <col min="3" max="3" width="9.140625" style="2" customWidth="1"/>
    <col min="4" max="4" width="24.421875" style="0" bestFit="1" customWidth="1"/>
    <col min="5" max="5" width="12.421875" style="2" bestFit="1" customWidth="1"/>
    <col min="6" max="6" width="12.421875" style="0" customWidth="1"/>
    <col min="13" max="13" width="6.57421875" style="0" customWidth="1"/>
    <col min="14" max="14" width="11.140625" style="0" bestFit="1" customWidth="1"/>
    <col min="15" max="15" width="7.57421875" style="0" customWidth="1"/>
    <col min="16" max="16" width="5.00390625" style="0" bestFit="1" customWidth="1"/>
    <col min="17" max="17" width="14.8515625" style="0" bestFit="1" customWidth="1"/>
    <col min="18" max="18" width="14.57421875" style="0" bestFit="1" customWidth="1"/>
  </cols>
  <sheetData>
    <row r="1" spans="1:19" ht="12.75">
      <c r="A1" t="s">
        <v>2</v>
      </c>
      <c r="C1" s="2" t="s">
        <v>3</v>
      </c>
      <c r="G1" t="s">
        <v>4</v>
      </c>
      <c r="I1" t="s">
        <v>5</v>
      </c>
      <c r="J1">
        <v>0.42</v>
      </c>
      <c r="K1" t="s">
        <v>24</v>
      </c>
      <c r="M1" t="s">
        <v>6</v>
      </c>
      <c r="O1" t="s">
        <v>7</v>
      </c>
      <c r="Q1" t="s">
        <v>25</v>
      </c>
      <c r="R1" s="1">
        <v>4.1E-21</v>
      </c>
      <c r="S1" t="s">
        <v>26</v>
      </c>
    </row>
    <row r="2" spans="1:16" ht="12.75">
      <c r="A2" t="s">
        <v>0</v>
      </c>
      <c r="B2" t="s">
        <v>30</v>
      </c>
      <c r="C2" s="2" t="s">
        <v>1</v>
      </c>
      <c r="D2" t="s">
        <v>28</v>
      </c>
      <c r="E2" s="2" t="s">
        <v>27</v>
      </c>
      <c r="F2" t="s">
        <v>31</v>
      </c>
      <c r="G2" t="s">
        <v>10</v>
      </c>
      <c r="H2">
        <v>72</v>
      </c>
      <c r="I2" t="s">
        <v>14</v>
      </c>
      <c r="J2">
        <f>na*p</f>
        <v>30.24</v>
      </c>
      <c r="M2" t="s">
        <v>8</v>
      </c>
      <c r="O2" t="s">
        <v>9</v>
      </c>
      <c r="P2" t="s">
        <v>24</v>
      </c>
    </row>
    <row r="3" spans="1:10" ht="12.75">
      <c r="A3">
        <v>0</v>
      </c>
      <c r="B3">
        <v>0</v>
      </c>
      <c r="G3" t="s">
        <v>32</v>
      </c>
      <c r="H3" t="s">
        <v>33</v>
      </c>
      <c r="I3" t="s">
        <v>46</v>
      </c>
      <c r="J3">
        <f>na*p</f>
        <v>30.24</v>
      </c>
    </row>
    <row r="4" spans="1:18" ht="13.5" thickBot="1">
      <c r="A4">
        <v>8.762886597938145</v>
      </c>
      <c r="B4">
        <f>A4-$A$3</f>
        <v>8.762886597938145</v>
      </c>
      <c r="C4" s="2">
        <v>4.705882352941177</v>
      </c>
      <c r="D4">
        <f aca="true" t="shared" si="0" ref="D4:D10">A4/Lca+0.25*((1-A4/Lca)^-2)-0.25</f>
        <v>0.5354013493182832</v>
      </c>
      <c r="E4" s="2">
        <f aca="true" t="shared" si="1" ref="E4:E10">10^12*kT*D4/(p*10^-9)</f>
        <v>5.2265369814403835</v>
      </c>
      <c r="F4">
        <f aca="true" t="shared" si="2" ref="F4:F10">B4/(na*p)</f>
        <v>0.289777995963563</v>
      </c>
      <c r="M4" s="6" t="s">
        <v>36</v>
      </c>
      <c r="N4" s="7" t="s">
        <v>37</v>
      </c>
      <c r="O4" s="7" t="s">
        <v>7</v>
      </c>
      <c r="P4" s="7" t="s">
        <v>51</v>
      </c>
      <c r="Q4" s="7" t="s">
        <v>44</v>
      </c>
      <c r="R4" s="8" t="s">
        <v>45</v>
      </c>
    </row>
    <row r="5" spans="1:18" ht="12.75">
      <c r="A5">
        <v>13.402061855670103</v>
      </c>
      <c r="B5">
        <f aca="true" t="shared" si="3" ref="B5:B10">A5-$A$3</f>
        <v>13.402061855670103</v>
      </c>
      <c r="C5" s="2">
        <v>14.117647058823529</v>
      </c>
      <c r="D5">
        <f t="shared" si="0"/>
        <v>0.9995439098689531</v>
      </c>
      <c r="E5" s="2">
        <f t="shared" si="1"/>
        <v>9.757452453482639</v>
      </c>
      <c r="F5">
        <f t="shared" si="2"/>
        <v>0.44318987617956696</v>
      </c>
      <c r="M5" s="9" t="s">
        <v>38</v>
      </c>
      <c r="N5" s="10" t="s">
        <v>33</v>
      </c>
      <c r="O5" s="10">
        <f>na</f>
        <v>72</v>
      </c>
      <c r="P5" s="10">
        <v>0.42</v>
      </c>
      <c r="Q5" s="10">
        <f>Lca</f>
        <v>30.24</v>
      </c>
      <c r="R5" s="11">
        <f>na*p</f>
        <v>30.24</v>
      </c>
    </row>
    <row r="6" spans="1:18" ht="12.75">
      <c r="A6">
        <v>19.072164948453608</v>
      </c>
      <c r="B6">
        <f t="shared" si="3"/>
        <v>19.072164948453608</v>
      </c>
      <c r="C6" s="2">
        <v>23.529411764705884</v>
      </c>
      <c r="D6">
        <f t="shared" si="0"/>
        <v>2.213706520195336</v>
      </c>
      <c r="E6" s="2">
        <f t="shared" si="1"/>
        <v>21.60999222095447</v>
      </c>
      <c r="F6">
        <f t="shared" si="2"/>
        <v>0.6306932853324606</v>
      </c>
      <c r="M6" s="12" t="s">
        <v>39</v>
      </c>
      <c r="N6" s="13" t="s">
        <v>33</v>
      </c>
      <c r="O6" s="13">
        <f>nb</f>
        <v>38</v>
      </c>
      <c r="P6" s="13">
        <v>0.42</v>
      </c>
      <c r="Q6" s="13">
        <f>Lcb</f>
        <v>46.199999999999996</v>
      </c>
      <c r="R6" s="14">
        <f>nb*p</f>
        <v>15.959999999999999</v>
      </c>
    </row>
    <row r="7" spans="1:18" ht="12.75">
      <c r="A7">
        <v>21.1340206185567</v>
      </c>
      <c r="B7">
        <f t="shared" si="3"/>
        <v>21.1340206185567</v>
      </c>
      <c r="C7" s="2">
        <v>42.35294117647059</v>
      </c>
      <c r="D7">
        <f t="shared" si="0"/>
        <v>3.20596198855275</v>
      </c>
      <c r="E7" s="2">
        <f t="shared" si="1"/>
        <v>31.296295602538752</v>
      </c>
      <c r="F7">
        <f t="shared" si="2"/>
        <v>0.6988763432062401</v>
      </c>
      <c r="M7" s="12" t="s">
        <v>40</v>
      </c>
      <c r="N7" s="13" t="s">
        <v>33</v>
      </c>
      <c r="O7" s="13">
        <f>nc</f>
        <v>28</v>
      </c>
      <c r="P7" s="13">
        <v>0.42</v>
      </c>
      <c r="Q7" s="13">
        <f>Lcc</f>
        <v>57.959999999999994</v>
      </c>
      <c r="R7" s="14">
        <f>nc*p</f>
        <v>11.76</v>
      </c>
    </row>
    <row r="8" spans="1:18" ht="12.75">
      <c r="A8">
        <v>23.711340206185568</v>
      </c>
      <c r="B8">
        <f t="shared" si="3"/>
        <v>23.711340206185568</v>
      </c>
      <c r="C8" s="2">
        <v>63.529411764705884</v>
      </c>
      <c r="D8">
        <f t="shared" si="0"/>
        <v>5.897694343197255</v>
      </c>
      <c r="E8" s="2">
        <f t="shared" si="1"/>
        <v>57.57273049311607</v>
      </c>
      <c r="F8">
        <f t="shared" si="2"/>
        <v>0.7841051655484645</v>
      </c>
      <c r="M8" s="15" t="s">
        <v>29</v>
      </c>
      <c r="N8" s="16" t="s">
        <v>33</v>
      </c>
      <c r="O8" s="16">
        <f>nd</f>
        <v>46</v>
      </c>
      <c r="P8" s="16">
        <v>0.42</v>
      </c>
      <c r="Q8" s="16">
        <f>Lcd</f>
        <v>77.28</v>
      </c>
      <c r="R8" s="17">
        <f>nd*p</f>
        <v>19.32</v>
      </c>
    </row>
    <row r="9" spans="1:18" ht="12.75">
      <c r="A9">
        <v>24.742268041237114</v>
      </c>
      <c r="B9">
        <f t="shared" si="3"/>
        <v>24.742268041237114</v>
      </c>
      <c r="C9" s="2">
        <v>82.3529411764706</v>
      </c>
      <c r="D9">
        <f t="shared" si="0"/>
        <v>8.131934368882865</v>
      </c>
      <c r="E9" s="2">
        <f t="shared" si="1"/>
        <v>79.38316883909464</v>
      </c>
      <c r="F9">
        <f t="shared" si="2"/>
        <v>0.8181966944853544</v>
      </c>
      <c r="M9" s="12" t="s">
        <v>41</v>
      </c>
      <c r="N9" s="13" t="s">
        <v>34</v>
      </c>
      <c r="O9" s="13">
        <f>ne</f>
        <v>150</v>
      </c>
      <c r="P9" s="13">
        <v>0.42</v>
      </c>
      <c r="Q9" s="13">
        <f>Lce</f>
        <v>140.28</v>
      </c>
      <c r="R9" s="14">
        <f>ne*p</f>
        <v>63</v>
      </c>
    </row>
    <row r="10" spans="1:18" ht="12.75">
      <c r="A10">
        <v>25.257731958762886</v>
      </c>
      <c r="B10">
        <f t="shared" si="3"/>
        <v>25.257731958762886</v>
      </c>
      <c r="C10" s="2">
        <v>101.17647058823529</v>
      </c>
      <c r="D10">
        <f t="shared" si="0"/>
        <v>9.795025626620559</v>
      </c>
      <c r="E10" s="2">
        <f t="shared" si="1"/>
        <v>95.61810730748641</v>
      </c>
      <c r="F10">
        <f t="shared" si="2"/>
        <v>0.8352424589537992</v>
      </c>
      <c r="M10" s="15" t="s">
        <v>42</v>
      </c>
      <c r="N10" s="16" t="s">
        <v>34</v>
      </c>
      <c r="O10" s="16">
        <f>nf</f>
        <v>170</v>
      </c>
      <c r="P10" s="16">
        <v>0.42</v>
      </c>
      <c r="Q10" s="16">
        <f>Lcf</f>
        <v>211.68</v>
      </c>
      <c r="R10" s="17">
        <f>nf*p</f>
        <v>71.39999999999999</v>
      </c>
    </row>
    <row r="11" spans="1:18" ht="12.75">
      <c r="G11" t="s">
        <v>11</v>
      </c>
      <c r="H11">
        <v>38</v>
      </c>
      <c r="I11" t="s">
        <v>15</v>
      </c>
      <c r="J11">
        <f>nb*p+Lca</f>
        <v>46.199999999999996</v>
      </c>
      <c r="M11" s="15" t="s">
        <v>43</v>
      </c>
      <c r="N11" s="16" t="s">
        <v>33</v>
      </c>
      <c r="O11" s="16">
        <f>ng</f>
        <v>57</v>
      </c>
      <c r="P11" s="19">
        <v>0.42</v>
      </c>
      <c r="Q11" s="16">
        <f>Lcg</f>
        <v>235.62</v>
      </c>
      <c r="R11" s="17">
        <f>ng*p</f>
        <v>23.939999999999998</v>
      </c>
    </row>
    <row r="12" spans="1:17" ht="12.75">
      <c r="A12">
        <v>27.835051546391753</v>
      </c>
      <c r="B12">
        <f>A12-$A$10</f>
        <v>2.5773195876288675</v>
      </c>
      <c r="C12" s="2">
        <v>42.35294117647059</v>
      </c>
      <c r="D12">
        <f aca="true" t="shared" si="4" ref="D12:D22">A12/Lcb+0.25*((1-A12/Lcb)^-2)-0.25</f>
        <v>1.934628915265972</v>
      </c>
      <c r="E12" s="2">
        <f aca="true" t="shared" si="5" ref="E12:E22">10^12*kT*D12/(p*10^-9)</f>
        <v>18.885663220453537</v>
      </c>
      <c r="F12">
        <f aca="true" t="shared" si="6" ref="F12:F22">B12/(nb*p)</f>
        <v>0.16148618970105688</v>
      </c>
      <c r="G12" t="s">
        <v>32</v>
      </c>
      <c r="H12" t="s">
        <v>33</v>
      </c>
      <c r="J12">
        <f>nb*p</f>
        <v>15.959999999999999</v>
      </c>
      <c r="M12" s="18"/>
      <c r="N12" s="18"/>
      <c r="O12" s="18"/>
      <c r="P12" s="18"/>
      <c r="Q12" s="18"/>
    </row>
    <row r="13" spans="1:18" ht="13.5" thickBot="1">
      <c r="A13">
        <v>31.443298969072167</v>
      </c>
      <c r="B13">
        <f aca="true" t="shared" si="7" ref="B13:B22">A13-$A$10</f>
        <v>6.185567010309281</v>
      </c>
      <c r="C13" s="2">
        <v>51.76470588235294</v>
      </c>
      <c r="D13">
        <f t="shared" si="4"/>
        <v>2.881038388037079</v>
      </c>
      <c r="E13" s="2">
        <f t="shared" si="5"/>
        <v>28.124422359409582</v>
      </c>
      <c r="F13">
        <f t="shared" si="6"/>
        <v>0.3875668552825364</v>
      </c>
      <c r="M13" s="6"/>
      <c r="N13" s="7" t="s">
        <v>47</v>
      </c>
      <c r="O13" s="7" t="s">
        <v>48</v>
      </c>
      <c r="P13" s="5"/>
      <c r="Q13" s="7" t="s">
        <v>49</v>
      </c>
      <c r="R13" s="8" t="s">
        <v>50</v>
      </c>
    </row>
    <row r="14" spans="1:18" ht="12.75">
      <c r="A14">
        <v>33.50515463917526</v>
      </c>
      <c r="B14">
        <f t="shared" si="7"/>
        <v>8.247422680412374</v>
      </c>
      <c r="C14" s="2">
        <v>63.529411764705884</v>
      </c>
      <c r="D14">
        <f t="shared" si="4"/>
        <v>3.7862956484392143</v>
      </c>
      <c r="E14" s="2">
        <f t="shared" si="5"/>
        <v>36.96145752047804</v>
      </c>
      <c r="F14">
        <f t="shared" si="6"/>
        <v>0.5167558070433819</v>
      </c>
      <c r="M14" s="12" t="s">
        <v>33</v>
      </c>
      <c r="N14" s="13">
        <f>AVERAGE(O5:O8,O11)</f>
        <v>48.2</v>
      </c>
      <c r="O14" s="13">
        <f>STDEV(O5:O8,O11)</f>
        <v>17.035257556021858</v>
      </c>
      <c r="P14" s="3"/>
      <c r="Q14" s="13">
        <f>AVERAGE(R5:R8,R11)</f>
        <v>20.244</v>
      </c>
      <c r="R14" s="14">
        <f>STDEV(R5:R8,R11)</f>
        <v>7.154808173529183</v>
      </c>
    </row>
    <row r="15" spans="1:18" ht="12.75">
      <c r="A15">
        <v>37.11340206185567</v>
      </c>
      <c r="B15">
        <f t="shared" si="7"/>
        <v>11.855670103092788</v>
      </c>
      <c r="C15" s="2">
        <v>77.64705882352942</v>
      </c>
      <c r="D15">
        <f t="shared" si="4"/>
        <v>7.016129612246596</v>
      </c>
      <c r="E15" s="2">
        <f t="shared" si="5"/>
        <v>68.49078907193106</v>
      </c>
      <c r="F15">
        <f t="shared" si="6"/>
        <v>0.7428364726248614</v>
      </c>
      <c r="M15" s="15" t="s">
        <v>34</v>
      </c>
      <c r="N15" s="16">
        <f>AVERAGE(O9:O10)</f>
        <v>160</v>
      </c>
      <c r="O15" s="16">
        <f>STDEV(O9:O10)</f>
        <v>14.142135623730951</v>
      </c>
      <c r="P15" s="4"/>
      <c r="Q15" s="16">
        <f>AVERAGE(R9:R10)</f>
        <v>67.19999999999999</v>
      </c>
      <c r="R15" s="17">
        <f>STDEV(R9:R10)</f>
        <v>5.939696961967208</v>
      </c>
    </row>
    <row r="16" spans="1:6" ht="12.75">
      <c r="A16">
        <v>38.65979381443299</v>
      </c>
      <c r="B16">
        <f t="shared" si="7"/>
        <v>13.402061855670102</v>
      </c>
      <c r="C16" s="2">
        <v>96.47058823529412</v>
      </c>
      <c r="D16">
        <f t="shared" si="4"/>
        <v>9.972294284259581</v>
      </c>
      <c r="E16" s="2">
        <f t="shared" si="5"/>
        <v>97.34858706062924</v>
      </c>
      <c r="F16">
        <f t="shared" si="6"/>
        <v>0.8397281864454952</v>
      </c>
    </row>
    <row r="17" spans="1:6" ht="12.75">
      <c r="A17">
        <v>39.69072164948454</v>
      </c>
      <c r="B17">
        <f t="shared" si="7"/>
        <v>14.432989690721651</v>
      </c>
      <c r="C17" s="2">
        <v>124.70588235294117</v>
      </c>
      <c r="D17">
        <f t="shared" si="4"/>
        <v>13.202949479834261</v>
      </c>
      <c r="E17" s="2">
        <f t="shared" si="5"/>
        <v>128.8859353983821</v>
      </c>
      <c r="F17">
        <f t="shared" si="6"/>
        <v>0.9043226623259181</v>
      </c>
    </row>
    <row r="18" spans="1:6" ht="12.75">
      <c r="A18">
        <v>41.23711340206186</v>
      </c>
      <c r="B18">
        <f t="shared" si="7"/>
        <v>15.979381443298973</v>
      </c>
      <c r="C18" s="2">
        <v>148.23529411764707</v>
      </c>
      <c r="D18">
        <f t="shared" si="4"/>
        <v>22.307406759770366</v>
      </c>
      <c r="E18" s="2">
        <f t="shared" si="5"/>
        <v>217.76278027394883</v>
      </c>
      <c r="F18">
        <f t="shared" si="6"/>
        <v>1.0012143761465522</v>
      </c>
    </row>
    <row r="19" spans="1:6" ht="12.75">
      <c r="A19">
        <v>41.75257731958763</v>
      </c>
      <c r="B19">
        <f t="shared" si="7"/>
        <v>16.494845360824744</v>
      </c>
      <c r="C19" s="2">
        <v>174.11764705882354</v>
      </c>
      <c r="D19">
        <f t="shared" si="4"/>
        <v>27.631573710016305</v>
      </c>
      <c r="E19" s="2">
        <f t="shared" si="5"/>
        <v>269.7367909787306</v>
      </c>
      <c r="F19">
        <f t="shared" si="6"/>
        <v>1.0335116140867635</v>
      </c>
    </row>
    <row r="20" spans="1:6" ht="12.75">
      <c r="A20">
        <v>42.78350515463918</v>
      </c>
      <c r="B20">
        <f t="shared" si="7"/>
        <v>17.525773195876294</v>
      </c>
      <c r="C20" s="2">
        <v>204.7058823529412</v>
      </c>
      <c r="D20">
        <f t="shared" si="4"/>
        <v>46.391438952499996</v>
      </c>
      <c r="E20" s="2">
        <f t="shared" si="5"/>
        <v>452.86880882202377</v>
      </c>
      <c r="F20">
        <f t="shared" si="6"/>
        <v>1.0981060899671864</v>
      </c>
    </row>
    <row r="21" spans="1:6" ht="12.75">
      <c r="A21">
        <v>42.78350515463918</v>
      </c>
      <c r="B21">
        <f t="shared" si="7"/>
        <v>17.525773195876294</v>
      </c>
      <c r="C21" s="2">
        <v>225.88235294117646</v>
      </c>
      <c r="D21">
        <f t="shared" si="4"/>
        <v>46.391438952499996</v>
      </c>
      <c r="E21" s="2">
        <f t="shared" si="5"/>
        <v>452.86880882202377</v>
      </c>
      <c r="F21">
        <f t="shared" si="6"/>
        <v>1.0981060899671864</v>
      </c>
    </row>
    <row r="22" spans="1:6" ht="12.75">
      <c r="A22">
        <v>43.29896907216495</v>
      </c>
      <c r="B22">
        <f t="shared" si="7"/>
        <v>18.041237113402065</v>
      </c>
      <c r="C22" s="2">
        <v>244.7058823529412</v>
      </c>
      <c r="D22">
        <f t="shared" si="4"/>
        <v>64.09158448967123</v>
      </c>
      <c r="E22" s="2">
        <f t="shared" si="5"/>
        <v>625.655943827743</v>
      </c>
      <c r="F22">
        <f t="shared" si="6"/>
        <v>1.1304033279073977</v>
      </c>
    </row>
    <row r="23" spans="1:10" ht="12.75">
      <c r="G23" t="s">
        <v>12</v>
      </c>
      <c r="H23">
        <v>28</v>
      </c>
      <c r="I23" t="s">
        <v>16</v>
      </c>
      <c r="J23">
        <f>nc*p+Lcb</f>
        <v>57.959999999999994</v>
      </c>
    </row>
    <row r="24" spans="1:10" ht="12.75">
      <c r="A24">
        <v>44.84536082474227</v>
      </c>
      <c r="B24">
        <f aca="true" t="shared" si="8" ref="B24:B34">A24-$A$22</f>
        <v>1.5463917525773212</v>
      </c>
      <c r="C24" s="2">
        <v>82.3529411764706</v>
      </c>
      <c r="D24">
        <f aca="true" t="shared" si="9" ref="D24:D34">A24/Lcc+0.25*((1-A24/Lcc)^-2)-0.25</f>
        <v>5.406699635906019</v>
      </c>
      <c r="E24" s="2">
        <f aca="true" t="shared" si="10" ref="E24:E34">10^12*kT*D24/(p*10^-9)</f>
        <v>52.779686921939714</v>
      </c>
      <c r="F24">
        <f aca="true" t="shared" si="11" ref="F24:F34">B24/(nc*p)</f>
        <v>0.1314958973280035</v>
      </c>
      <c r="G24" t="s">
        <v>32</v>
      </c>
      <c r="H24" t="s">
        <v>33</v>
      </c>
      <c r="J24">
        <f>nc*p</f>
        <v>11.76</v>
      </c>
    </row>
    <row r="25" spans="1:6" ht="12.75">
      <c r="A25">
        <v>46.391752577319586</v>
      </c>
      <c r="B25">
        <f t="shared" si="8"/>
        <v>3.0927835051546353</v>
      </c>
      <c r="C25" s="2">
        <v>94.11764705882354</v>
      </c>
      <c r="D25">
        <f t="shared" si="9"/>
        <v>6.826101863160279</v>
      </c>
      <c r="E25" s="2">
        <f t="shared" si="10"/>
        <v>66.6357562832313</v>
      </c>
      <c r="F25">
        <f t="shared" si="11"/>
        <v>0.2629917946560064</v>
      </c>
    </row>
    <row r="26" spans="1:6" ht="12.75">
      <c r="A26">
        <v>47.93814432989691</v>
      </c>
      <c r="B26">
        <f t="shared" si="8"/>
        <v>4.6391752577319565</v>
      </c>
      <c r="C26" s="2">
        <v>112.94117647058823</v>
      </c>
      <c r="D26">
        <f t="shared" si="9"/>
        <v>8.938903587666946</v>
      </c>
      <c r="E26" s="2">
        <f t="shared" si="10"/>
        <v>87.26072549865353</v>
      </c>
      <c r="F26">
        <f t="shared" si="11"/>
        <v>0.3944876919840099</v>
      </c>
    </row>
    <row r="27" spans="1:6" ht="12.75">
      <c r="A27">
        <v>48.96907216494846</v>
      </c>
      <c r="B27">
        <f t="shared" si="8"/>
        <v>5.670103092783506</v>
      </c>
      <c r="C27" s="2">
        <v>138.8235294117647</v>
      </c>
      <c r="D27">
        <f t="shared" si="9"/>
        <v>10.984211744491455</v>
      </c>
      <c r="E27" s="2">
        <f t="shared" si="10"/>
        <v>107.22682893432135</v>
      </c>
      <c r="F27">
        <f t="shared" si="11"/>
        <v>0.48215162353601243</v>
      </c>
    </row>
    <row r="28" spans="1:6" ht="12.75">
      <c r="A28">
        <v>49.48453608247423</v>
      </c>
      <c r="B28">
        <f t="shared" si="8"/>
        <v>6.185567010309278</v>
      </c>
      <c r="C28" s="2">
        <v>162.35294117647058</v>
      </c>
      <c r="D28">
        <f t="shared" si="9"/>
        <v>12.295258879117377</v>
      </c>
      <c r="E28" s="2">
        <f t="shared" si="10"/>
        <v>120.02514620090773</v>
      </c>
      <c r="F28">
        <f t="shared" si="11"/>
        <v>0.5259835893120134</v>
      </c>
    </row>
    <row r="29" spans="1:6" ht="12.75">
      <c r="A29">
        <v>50.51546391752577</v>
      </c>
      <c r="B29">
        <f t="shared" si="8"/>
        <v>7.21649484536082</v>
      </c>
      <c r="C29" s="2">
        <v>183.52941176470588</v>
      </c>
      <c r="D29">
        <f t="shared" si="9"/>
        <v>15.77535500067108</v>
      </c>
      <c r="E29" s="2">
        <f t="shared" si="10"/>
        <v>153.9975131017891</v>
      </c>
      <c r="F29">
        <f t="shared" si="11"/>
        <v>0.6136475208640153</v>
      </c>
    </row>
    <row r="30" spans="1:6" ht="12.75">
      <c r="A30">
        <v>51.54639175257732</v>
      </c>
      <c r="B30">
        <f t="shared" si="8"/>
        <v>8.24742268041237</v>
      </c>
      <c r="C30" s="2">
        <v>207.05882352941177</v>
      </c>
      <c r="D30">
        <f t="shared" si="9"/>
        <v>21.056343075187343</v>
      </c>
      <c r="E30" s="2">
        <f t="shared" si="10"/>
        <v>205.5500157339717</v>
      </c>
      <c r="F30">
        <f t="shared" si="11"/>
        <v>0.7013114524160179</v>
      </c>
    </row>
    <row r="31" spans="1:6" ht="12.75">
      <c r="A31">
        <v>52.06185567010309</v>
      </c>
      <c r="B31">
        <f t="shared" si="8"/>
        <v>8.762886597938142</v>
      </c>
      <c r="C31" s="2">
        <v>247.05882352941177</v>
      </c>
      <c r="D31">
        <f t="shared" si="9"/>
        <v>24.789833284408864</v>
      </c>
      <c r="E31" s="2">
        <f t="shared" si="10"/>
        <v>241.9959915858961</v>
      </c>
      <c r="F31">
        <f t="shared" si="11"/>
        <v>0.7451434181920189</v>
      </c>
    </row>
    <row r="32" spans="1:6" ht="12.75">
      <c r="A32">
        <v>53.09278350515464</v>
      </c>
      <c r="B32">
        <f t="shared" si="8"/>
        <v>9.793814432989691</v>
      </c>
      <c r="C32" s="2">
        <v>282.3529411764706</v>
      </c>
      <c r="D32">
        <f t="shared" si="9"/>
        <v>36.117591367484195</v>
      </c>
      <c r="E32" s="2">
        <f t="shared" si="10"/>
        <v>352.57648715877434</v>
      </c>
      <c r="F32">
        <f t="shared" si="11"/>
        <v>0.8328073497440214</v>
      </c>
    </row>
    <row r="33" spans="1:6" ht="12.75">
      <c r="A33">
        <v>53.608247422680414</v>
      </c>
      <c r="B33">
        <f t="shared" si="8"/>
        <v>10.309278350515463</v>
      </c>
      <c r="C33" s="2">
        <v>320</v>
      </c>
      <c r="D33">
        <f t="shared" si="9"/>
        <v>45.02233932142341</v>
      </c>
      <c r="E33" s="2">
        <f t="shared" si="10"/>
        <v>439.50378861389527</v>
      </c>
      <c r="F33">
        <f t="shared" si="11"/>
        <v>0.8766393155200224</v>
      </c>
    </row>
    <row r="34" spans="1:18" ht="12.75">
      <c r="A34">
        <v>54.123711340206185</v>
      </c>
      <c r="B34">
        <f t="shared" si="8"/>
        <v>10.824742268041234</v>
      </c>
      <c r="C34" s="2">
        <v>350.5882352941177</v>
      </c>
      <c r="D34">
        <f t="shared" si="9"/>
        <v>57.74938757511738</v>
      </c>
      <c r="E34" s="2">
        <f t="shared" si="10"/>
        <v>563.7440215666221</v>
      </c>
      <c r="F34">
        <f t="shared" si="11"/>
        <v>0.9204712812960233</v>
      </c>
      <c r="R34">
        <f>0.34*90</f>
        <v>30.6</v>
      </c>
    </row>
    <row r="35" spans="1:18" ht="12.75">
      <c r="G35" t="s">
        <v>13</v>
      </c>
      <c r="H35">
        <v>46</v>
      </c>
      <c r="I35" t="s">
        <v>17</v>
      </c>
      <c r="J35">
        <f>nd*p+Lcc</f>
        <v>77.28</v>
      </c>
      <c r="R35">
        <f>0.34*239</f>
        <v>81.26</v>
      </c>
    </row>
    <row r="36" spans="1:10" ht="12.75">
      <c r="A36">
        <v>58.24742268041237</v>
      </c>
      <c r="B36">
        <f>A36-$A$34</f>
        <v>4.123711340206185</v>
      </c>
      <c r="C36" s="2">
        <v>51.76470588235294</v>
      </c>
      <c r="D36">
        <f aca="true" t="shared" si="12" ref="D36:D42">A36/Lcd+0.25*((1-A36/Lcd)^-2)-0.25</f>
        <v>4.625444403469404</v>
      </c>
      <c r="E36" s="2">
        <f aca="true" t="shared" si="13" ref="E36:E42">10^12*kT*D36/(p*10^-9)</f>
        <v>45.15314774815371</v>
      </c>
      <c r="F36">
        <f aca="true" t="shared" si="14" ref="F36:F42">B36/(nd*p)</f>
        <v>0.2134426159527011</v>
      </c>
      <c r="G36" t="s">
        <v>32</v>
      </c>
      <c r="H36" t="s">
        <v>33</v>
      </c>
      <c r="J36">
        <f>nd*p</f>
        <v>19.32</v>
      </c>
    </row>
    <row r="37" spans="1:6" ht="12.75">
      <c r="A37">
        <v>60.82474226804124</v>
      </c>
      <c r="B37">
        <f aca="true" t="shared" si="15" ref="B37:B42">A37-$A$34</f>
        <v>6.701030927835056</v>
      </c>
      <c r="C37" s="2">
        <v>63.529411764705884</v>
      </c>
      <c r="D37">
        <f t="shared" si="12"/>
        <v>6.051045472289457</v>
      </c>
      <c r="E37" s="2">
        <f t="shared" si="13"/>
        <v>59.0697296104447</v>
      </c>
      <c r="F37">
        <f t="shared" si="14"/>
        <v>0.34684425092313953</v>
      </c>
    </row>
    <row r="38" spans="1:6" ht="12.75">
      <c r="A38">
        <v>62.886597938144334</v>
      </c>
      <c r="B38">
        <f t="shared" si="15"/>
        <v>8.762886597938149</v>
      </c>
      <c r="C38" s="2">
        <v>72.94117647058823</v>
      </c>
      <c r="D38">
        <f t="shared" si="12"/>
        <v>7.770630481404218</v>
      </c>
      <c r="E38" s="2">
        <f t="shared" si="13"/>
        <v>75.85615469942213</v>
      </c>
      <c r="F38">
        <f t="shared" si="14"/>
        <v>0.4535655588994901</v>
      </c>
    </row>
    <row r="39" spans="1:6" ht="12.75">
      <c r="A39">
        <v>64.43298969072166</v>
      </c>
      <c r="B39">
        <f t="shared" si="15"/>
        <v>10.30927835051547</v>
      </c>
      <c r="C39" s="2">
        <v>91.76470588235294</v>
      </c>
      <c r="D39">
        <f t="shared" si="12"/>
        <v>9.630041558995316</v>
      </c>
      <c r="E39" s="2">
        <f t="shared" si="13"/>
        <v>94.00754855209713</v>
      </c>
      <c r="F39">
        <f t="shared" si="14"/>
        <v>0.5336065398817531</v>
      </c>
    </row>
    <row r="40" spans="1:6" ht="12.75">
      <c r="A40">
        <v>65.97938144329898</v>
      </c>
      <c r="B40">
        <f t="shared" si="15"/>
        <v>11.855670103092791</v>
      </c>
      <c r="C40" s="2">
        <v>108.23529411764706</v>
      </c>
      <c r="D40">
        <f t="shared" si="12"/>
        <v>12.295258879117377</v>
      </c>
      <c r="E40" s="2">
        <f t="shared" si="13"/>
        <v>120.02514620090773</v>
      </c>
      <c r="F40">
        <f t="shared" si="14"/>
        <v>0.6136475208640161</v>
      </c>
    </row>
    <row r="41" spans="1:6" ht="12.75">
      <c r="A41">
        <v>67.5257731958763</v>
      </c>
      <c r="B41">
        <f t="shared" si="15"/>
        <v>13.402061855670112</v>
      </c>
      <c r="C41" s="2">
        <v>124.70588235294117</v>
      </c>
      <c r="D41">
        <f t="shared" si="12"/>
        <v>16.316150596803304</v>
      </c>
      <c r="E41" s="2">
        <f t="shared" si="13"/>
        <v>159.2767082068894</v>
      </c>
      <c r="F41">
        <f t="shared" si="14"/>
        <v>0.6936885018462791</v>
      </c>
    </row>
    <row r="42" spans="1:6" ht="12.75">
      <c r="A42">
        <v>68.04123711340206</v>
      </c>
      <c r="B42">
        <f t="shared" si="15"/>
        <v>13.917525773195877</v>
      </c>
      <c r="C42" s="2">
        <v>138.8235294117647</v>
      </c>
      <c r="D42">
        <f t="shared" si="12"/>
        <v>18.122737753296377</v>
      </c>
      <c r="E42" s="2">
        <f t="shared" si="13"/>
        <v>176.91243997265514</v>
      </c>
      <c r="F42">
        <f t="shared" si="14"/>
        <v>0.7203688288403662</v>
      </c>
    </row>
    <row r="43" spans="1:10" ht="12.75">
      <c r="G43" t="s">
        <v>18</v>
      </c>
      <c r="H43">
        <v>150</v>
      </c>
      <c r="I43" t="s">
        <v>19</v>
      </c>
      <c r="J43">
        <f>ne*p+Lcd</f>
        <v>140.28</v>
      </c>
    </row>
    <row r="44" spans="1:10" ht="12.75">
      <c r="A44">
        <v>72.68041237113403</v>
      </c>
      <c r="B44">
        <f>A44-$A$42</f>
        <v>4.639175257731964</v>
      </c>
      <c r="C44" s="2">
        <v>30.58823529411765</v>
      </c>
      <c r="D44">
        <f aca="true" t="shared" si="16" ref="D44:D54">A44/Lce+0.25*((1-A44/Lce)^-2)-0.25</f>
        <v>1.3446824497896377</v>
      </c>
      <c r="E44" s="2">
        <f aca="true" t="shared" si="17" ref="E44:E54">10^12*kT*D44/(p*10^-9)</f>
        <v>13.126662009851227</v>
      </c>
      <c r="F44">
        <f aca="true" t="shared" si="18" ref="F44:F54">B44/(ne*p)</f>
        <v>0.07363770250368196</v>
      </c>
      <c r="G44" t="s">
        <v>32</v>
      </c>
      <c r="H44" t="s">
        <v>34</v>
      </c>
      <c r="J44">
        <f>ne*p</f>
        <v>63</v>
      </c>
    </row>
    <row r="45" spans="1:6" ht="12.75">
      <c r="A45">
        <v>77.83505154639175</v>
      </c>
      <c r="B45">
        <f aca="true" t="shared" si="19" ref="B45:B54">A45-$A$42</f>
        <v>9.793814432989691</v>
      </c>
      <c r="C45" s="2">
        <v>30.58823529411765</v>
      </c>
      <c r="D45">
        <f t="shared" si="16"/>
        <v>1.5664991576439036</v>
      </c>
      <c r="E45" s="2">
        <f t="shared" si="17"/>
        <v>15.29201558652382</v>
      </c>
      <c r="F45">
        <f t="shared" si="18"/>
        <v>0.15545737195221732</v>
      </c>
    </row>
    <row r="46" spans="1:6" ht="12.75">
      <c r="A46">
        <v>87.62886597938144</v>
      </c>
      <c r="B46">
        <f t="shared" si="19"/>
        <v>19.587628865979383</v>
      </c>
      <c r="C46" s="2">
        <v>40</v>
      </c>
      <c r="D46">
        <f t="shared" si="16"/>
        <v>2.14933481985494</v>
      </c>
      <c r="E46" s="2">
        <f t="shared" si="17"/>
        <v>20.981601812869656</v>
      </c>
      <c r="F46">
        <f t="shared" si="18"/>
        <v>0.31091474390443463</v>
      </c>
    </row>
    <row r="47" spans="1:6" ht="12.75">
      <c r="A47">
        <v>96.3917525773196</v>
      </c>
      <c r="B47">
        <f t="shared" si="19"/>
        <v>28.35051546391753</v>
      </c>
      <c r="C47" s="2">
        <v>42.35294117647059</v>
      </c>
      <c r="D47">
        <f t="shared" si="16"/>
        <v>2.9912214737209304</v>
      </c>
      <c r="E47" s="2">
        <f t="shared" si="17"/>
        <v>29.200019148228133</v>
      </c>
      <c r="F47">
        <f t="shared" si="18"/>
        <v>0.4500081819669449</v>
      </c>
    </row>
    <row r="48" spans="1:6" ht="12.75">
      <c r="A48">
        <v>102.57731958762886</v>
      </c>
      <c r="B48">
        <f t="shared" si="19"/>
        <v>34.5360824742268</v>
      </c>
      <c r="C48" s="2">
        <v>51.76470588235294</v>
      </c>
      <c r="D48">
        <f t="shared" si="16"/>
        <v>3.942116885196624</v>
      </c>
      <c r="E48" s="2">
        <f t="shared" si="17"/>
        <v>38.48256959358609</v>
      </c>
      <c r="F48">
        <f t="shared" si="18"/>
        <v>0.5481917853051873</v>
      </c>
    </row>
    <row r="49" spans="1:6" ht="12.75">
      <c r="A49">
        <v>107.7319587628866</v>
      </c>
      <c r="B49">
        <f t="shared" si="19"/>
        <v>39.690721649484544</v>
      </c>
      <c r="C49" s="2">
        <v>58.82352941176471</v>
      </c>
      <c r="D49">
        <f t="shared" si="16"/>
        <v>5.161866794026874</v>
      </c>
      <c r="E49" s="2">
        <f t="shared" si="17"/>
        <v>50.389652036929014</v>
      </c>
      <c r="F49">
        <f t="shared" si="18"/>
        <v>0.6300114547537229</v>
      </c>
    </row>
    <row r="50" spans="1:6" ht="12.75">
      <c r="A50">
        <v>112.88659793814433</v>
      </c>
      <c r="B50">
        <f t="shared" si="19"/>
        <v>44.84536082474227</v>
      </c>
      <c r="C50" s="2">
        <v>65.88235294117648</v>
      </c>
      <c r="D50">
        <f t="shared" si="16"/>
        <v>7.1107329744263374</v>
      </c>
      <c r="E50" s="2">
        <f t="shared" si="17"/>
        <v>69.41429808368568</v>
      </c>
      <c r="F50">
        <f t="shared" si="18"/>
        <v>0.7118311242022582</v>
      </c>
    </row>
    <row r="51" spans="1:6" ht="12.75">
      <c r="A51">
        <v>119.58762886597938</v>
      </c>
      <c r="B51">
        <f t="shared" si="19"/>
        <v>51.54639175257732</v>
      </c>
      <c r="C51" s="2">
        <v>89.41176470588236</v>
      </c>
      <c r="D51">
        <f t="shared" si="16"/>
        <v>12.092253620444026</v>
      </c>
      <c r="E51" s="2">
        <f t="shared" si="17"/>
        <v>118.04342819957265</v>
      </c>
      <c r="F51">
        <f t="shared" si="18"/>
        <v>0.8181966944853543</v>
      </c>
    </row>
    <row r="52" spans="1:6" ht="12.75">
      <c r="A52">
        <v>121.1340206185567</v>
      </c>
      <c r="B52">
        <f t="shared" si="19"/>
        <v>53.09278350515464</v>
      </c>
      <c r="C52" s="2">
        <v>103.52941176470588</v>
      </c>
      <c r="D52">
        <f t="shared" si="16"/>
        <v>14.03425246426319</v>
      </c>
      <c r="E52" s="2">
        <f t="shared" si="17"/>
        <v>137.0010359606645</v>
      </c>
      <c r="F52">
        <f t="shared" si="18"/>
        <v>0.8427425953199149</v>
      </c>
    </row>
    <row r="53" spans="1:6" ht="12.75">
      <c r="A53">
        <v>123.1958762886598</v>
      </c>
      <c r="B53">
        <f t="shared" si="19"/>
        <v>55.15463917525774</v>
      </c>
      <c r="C53" s="2">
        <v>117.64705882352942</v>
      </c>
      <c r="D53">
        <f t="shared" si="16"/>
        <v>17.48388752309256</v>
      </c>
      <c r="E53" s="2">
        <f t="shared" si="17"/>
        <v>170.67604486828452</v>
      </c>
      <c r="F53">
        <f t="shared" si="18"/>
        <v>0.8754704630993292</v>
      </c>
    </row>
    <row r="54" spans="1:6" ht="12.75">
      <c r="A54">
        <v>124.22680412371135</v>
      </c>
      <c r="B54">
        <f t="shared" si="19"/>
        <v>56.185567010309285</v>
      </c>
      <c r="C54" s="2">
        <v>138.8235294117647</v>
      </c>
      <c r="D54">
        <f t="shared" si="16"/>
        <v>19.725676815518963</v>
      </c>
      <c r="E54" s="2">
        <f t="shared" si="17"/>
        <v>192.56017843720895</v>
      </c>
      <c r="F54">
        <f t="shared" si="18"/>
        <v>0.8918343969890362</v>
      </c>
    </row>
    <row r="55" spans="1:10" ht="12.75">
      <c r="G55" t="s">
        <v>20</v>
      </c>
      <c r="H55">
        <v>170</v>
      </c>
      <c r="I55" t="s">
        <v>23</v>
      </c>
      <c r="J55">
        <f>nf*p+Lce</f>
        <v>211.68</v>
      </c>
    </row>
    <row r="56" spans="1:10" ht="12.75">
      <c r="A56">
        <v>130.9278350515464</v>
      </c>
      <c r="B56">
        <f>A56-$A$54</f>
        <v>6.701030927835049</v>
      </c>
      <c r="C56" s="2">
        <v>23.529411764705884</v>
      </c>
      <c r="D56">
        <f aca="true" t="shared" si="20" ref="D56:D67">A56/Lcf+0.25*((1-A56/Lcf)^-2)-0.25</f>
        <v>2.0863917656257085</v>
      </c>
      <c r="E56" s="2">
        <f aca="true" t="shared" si="21" ref="E56:E67">10^12*kT*D56/(p*10^-9)</f>
        <v>20.36715771206049</v>
      </c>
      <c r="F56">
        <f aca="true" t="shared" si="22" ref="F56:F67">B56/(nf*p)</f>
        <v>0.09385197377920237</v>
      </c>
      <c r="G56" t="s">
        <v>32</v>
      </c>
      <c r="H56" t="s">
        <v>34</v>
      </c>
      <c r="J56">
        <f>nf*p</f>
        <v>71.39999999999999</v>
      </c>
    </row>
    <row r="57" spans="1:6" ht="12.75">
      <c r="A57">
        <v>136.5979381443299</v>
      </c>
      <c r="B57">
        <f aca="true" t="shared" si="23" ref="B57:B67">A57-$A$54</f>
        <v>12.371134020618555</v>
      </c>
      <c r="C57" s="2">
        <v>30.58823529411765</v>
      </c>
      <c r="D57">
        <f t="shared" si="20"/>
        <v>2.3824385229284415</v>
      </c>
      <c r="E57" s="2">
        <f t="shared" si="21"/>
        <v>23.257137961920503</v>
      </c>
      <c r="F57">
        <f t="shared" si="22"/>
        <v>0.17326518236160443</v>
      </c>
    </row>
    <row r="58" spans="1:6" ht="12.75">
      <c r="A58">
        <v>141.75257731958763</v>
      </c>
      <c r="B58">
        <f t="shared" si="23"/>
        <v>17.525773195876283</v>
      </c>
      <c r="C58" s="2">
        <v>32.94117647058824</v>
      </c>
      <c r="D58">
        <f t="shared" si="20"/>
        <v>2.710547050054841</v>
      </c>
      <c r="E58" s="2">
        <f t="shared" si="21"/>
        <v>26.46010215529726</v>
      </c>
      <c r="F58">
        <f t="shared" si="22"/>
        <v>0.24545900834560624</v>
      </c>
    </row>
    <row r="59" spans="1:6" ht="12.75">
      <c r="A59">
        <v>143.81443298969072</v>
      </c>
      <c r="B59">
        <f t="shared" si="23"/>
        <v>19.58762886597937</v>
      </c>
      <c r="C59" s="2">
        <v>35.294117647058826</v>
      </c>
      <c r="D59">
        <f t="shared" si="20"/>
        <v>2.8616033904152034</v>
      </c>
      <c r="E59" s="2">
        <f t="shared" si="21"/>
        <v>27.93469976357699</v>
      </c>
      <c r="F59">
        <f t="shared" si="22"/>
        <v>0.2743365387392069</v>
      </c>
    </row>
    <row r="60" spans="1:6" ht="12.75">
      <c r="A60">
        <v>148.96907216494847</v>
      </c>
      <c r="B60">
        <f t="shared" si="23"/>
        <v>24.742268041237125</v>
      </c>
      <c r="C60" s="2">
        <v>40</v>
      </c>
      <c r="D60">
        <f t="shared" si="20"/>
        <v>3.3022267916495007</v>
      </c>
      <c r="E60" s="2">
        <f t="shared" si="21"/>
        <v>32.23602344229275</v>
      </c>
      <c r="F60">
        <f t="shared" si="22"/>
        <v>0.3465303647232091</v>
      </c>
    </row>
    <row r="61" spans="1:6" ht="12.75">
      <c r="A61">
        <v>156.70103092783506</v>
      </c>
      <c r="B61">
        <f t="shared" si="23"/>
        <v>32.47422680412372</v>
      </c>
      <c r="C61" s="2">
        <v>40</v>
      </c>
      <c r="D61">
        <f t="shared" si="20"/>
        <v>4.196282274108427</v>
      </c>
      <c r="E61" s="2">
        <f t="shared" si="21"/>
        <v>40.9637079139156</v>
      </c>
      <c r="F61">
        <f t="shared" si="22"/>
        <v>0.45482110369921175</v>
      </c>
    </row>
    <row r="62" spans="1:6" ht="12.75">
      <c r="A62">
        <v>169.0721649484536</v>
      </c>
      <c r="B62">
        <f t="shared" si="23"/>
        <v>44.84536082474226</v>
      </c>
      <c r="C62" s="2">
        <v>54.11764705882353</v>
      </c>
      <c r="D62">
        <f t="shared" si="20"/>
        <v>6.719221079179755</v>
      </c>
      <c r="E62" s="2">
        <f t="shared" si="21"/>
        <v>65.5923962491357</v>
      </c>
      <c r="F62">
        <f t="shared" si="22"/>
        <v>0.628086286060816</v>
      </c>
    </row>
    <row r="63" spans="1:6" ht="12.75">
      <c r="A63">
        <v>170.61855670103094</v>
      </c>
      <c r="B63">
        <f t="shared" si="23"/>
        <v>46.39175257731959</v>
      </c>
      <c r="C63" s="2">
        <v>68.23529411764706</v>
      </c>
      <c r="D63">
        <f t="shared" si="20"/>
        <v>7.200045890535743</v>
      </c>
      <c r="E63" s="2">
        <f t="shared" si="21"/>
        <v>70.28616226475368</v>
      </c>
      <c r="F63">
        <f t="shared" si="22"/>
        <v>0.6497444338560168</v>
      </c>
    </row>
    <row r="64" spans="1:6" ht="12.75">
      <c r="A64">
        <v>175.77319587628867</v>
      </c>
      <c r="B64">
        <f t="shared" si="23"/>
        <v>51.54639175257732</v>
      </c>
      <c r="C64" s="2">
        <v>82.3529411764706</v>
      </c>
      <c r="D64">
        <f t="shared" si="20"/>
        <v>9.268899283923762</v>
      </c>
      <c r="E64" s="2">
        <f t="shared" si="21"/>
        <v>90.48211205735102</v>
      </c>
      <c r="F64">
        <f t="shared" si="22"/>
        <v>0.7219382598400186</v>
      </c>
    </row>
    <row r="65" spans="1:6" ht="12.75">
      <c r="A65">
        <v>179.89690721649484</v>
      </c>
      <c r="B65">
        <f t="shared" si="23"/>
        <v>55.67010309278349</v>
      </c>
      <c r="C65" s="2">
        <v>103.52941176470588</v>
      </c>
      <c r="D65">
        <f t="shared" si="20"/>
        <v>11.68923528983563</v>
      </c>
      <c r="E65" s="2">
        <f t="shared" si="21"/>
        <v>114.10920163887162</v>
      </c>
      <c r="F65">
        <f t="shared" si="22"/>
        <v>0.7796933206272199</v>
      </c>
    </row>
    <row r="66" spans="1:6" ht="12.75">
      <c r="A66">
        <v>182.98969072164948</v>
      </c>
      <c r="B66">
        <f t="shared" si="23"/>
        <v>58.762886597938135</v>
      </c>
      <c r="C66" s="2">
        <v>122.3529411764706</v>
      </c>
      <c r="D66">
        <f t="shared" si="20"/>
        <v>14.223557415423397</v>
      </c>
      <c r="E66" s="2">
        <f t="shared" si="21"/>
        <v>138.84901286484745</v>
      </c>
      <c r="F66">
        <f t="shared" si="22"/>
        <v>0.823009616217621</v>
      </c>
    </row>
    <row r="67" spans="1:6" ht="12.75">
      <c r="A67">
        <v>185.0515463917526</v>
      </c>
      <c r="B67">
        <f t="shared" si="23"/>
        <v>60.82474226804125</v>
      </c>
      <c r="C67" s="2">
        <v>136.47058823529412</v>
      </c>
      <c r="D67">
        <f t="shared" si="20"/>
        <v>16.42241009768349</v>
      </c>
      <c r="E67" s="2">
        <f t="shared" si="21"/>
        <v>160.3140033345293</v>
      </c>
      <c r="F67">
        <f t="shared" si="22"/>
        <v>0.8518871466112221</v>
      </c>
    </row>
    <row r="68" spans="1:10" ht="12.75">
      <c r="G68" t="s">
        <v>21</v>
      </c>
      <c r="H68">
        <v>57</v>
      </c>
      <c r="I68" t="s">
        <v>22</v>
      </c>
      <c r="J68">
        <f>ng*p+Lcf</f>
        <v>235.62</v>
      </c>
    </row>
    <row r="69" spans="1:10" ht="12.75">
      <c r="A69">
        <v>187.62886597938146</v>
      </c>
      <c r="B69">
        <f>A69-$A$67</f>
        <v>2.577319587628864</v>
      </c>
      <c r="C69" s="2">
        <v>70.58823529411765</v>
      </c>
      <c r="D69">
        <f aca="true" t="shared" si="24" ref="D69:D85">A69/Lcg+0.25*((1-A69/Lcg)^-2)-0.25</f>
        <v>6.572502379662654</v>
      </c>
      <c r="E69" s="2">
        <f aca="true" t="shared" si="25" ref="E69:E85">10^12*kT*D69/(p*10^-9)</f>
        <v>64.16014227765925</v>
      </c>
      <c r="F69">
        <f aca="true" t="shared" si="26" ref="F69:F85">B69/(ng*p)</f>
        <v>0.10765745980070443</v>
      </c>
      <c r="G69" t="s">
        <v>32</v>
      </c>
      <c r="H69" t="s">
        <v>35</v>
      </c>
      <c r="J69">
        <f>ng*p</f>
        <v>23.939999999999998</v>
      </c>
    </row>
    <row r="70" spans="1:6" ht="12.75">
      <c r="A70">
        <v>191.75257731958763</v>
      </c>
      <c r="B70">
        <f aca="true" t="shared" si="27" ref="B70:B85">A70-$A$67</f>
        <v>6.701030927835035</v>
      </c>
      <c r="C70" s="2">
        <v>82.3529411764706</v>
      </c>
      <c r="D70">
        <f t="shared" si="24"/>
        <v>7.7762257736578935</v>
      </c>
      <c r="E70" s="2">
        <f t="shared" si="25"/>
        <v>75.91077540951754</v>
      </c>
      <c r="F70">
        <f t="shared" si="26"/>
        <v>0.2799093954818311</v>
      </c>
    </row>
    <row r="71" spans="1:6" ht="12.75">
      <c r="A71">
        <v>196.39175257731958</v>
      </c>
      <c r="B71">
        <f t="shared" si="27"/>
        <v>11.340206185566984</v>
      </c>
      <c r="C71" s="2">
        <v>108.23529411764706</v>
      </c>
      <c r="D71">
        <f t="shared" si="24"/>
        <v>9.60267902833482</v>
      </c>
      <c r="E71" s="2">
        <f t="shared" si="25"/>
        <v>93.74043813374468</v>
      </c>
      <c r="F71">
        <f t="shared" si="26"/>
        <v>0.4736928231230988</v>
      </c>
    </row>
    <row r="72" spans="1:6" ht="12.75">
      <c r="A72">
        <v>201.03092783505156</v>
      </c>
      <c r="B72">
        <f t="shared" si="27"/>
        <v>15.979381443298962</v>
      </c>
      <c r="C72" s="2">
        <v>136.47058823529412</v>
      </c>
      <c r="D72">
        <f t="shared" si="24"/>
        <v>12.203960964847026</v>
      </c>
      <c r="E72" s="2">
        <f t="shared" si="25"/>
        <v>119.13390465684002</v>
      </c>
      <c r="F72">
        <f t="shared" si="26"/>
        <v>0.6674762507643678</v>
      </c>
    </row>
    <row r="73" spans="1:6" ht="12.75">
      <c r="A73">
        <v>204.63917525773198</v>
      </c>
      <c r="B73">
        <f t="shared" si="27"/>
        <v>19.587628865979383</v>
      </c>
      <c r="C73" s="2">
        <v>167.05882352941177</v>
      </c>
      <c r="D73">
        <f t="shared" si="24"/>
        <v>15.07884886230952</v>
      </c>
      <c r="E73" s="2">
        <f t="shared" si="25"/>
        <v>147.19828651302151</v>
      </c>
      <c r="F73">
        <f t="shared" si="26"/>
        <v>0.8181966944853544</v>
      </c>
    </row>
    <row r="74" spans="1:6" ht="12.75">
      <c r="A74">
        <v>207.7319587628866</v>
      </c>
      <c r="B74">
        <f t="shared" si="27"/>
        <v>22.680412371133997</v>
      </c>
      <c r="C74" s="2">
        <v>195.29411764705884</v>
      </c>
      <c r="D74">
        <f t="shared" si="24"/>
        <v>18.47712197998309</v>
      </c>
      <c r="E74" s="2">
        <f t="shared" si="25"/>
        <v>180.37190504269208</v>
      </c>
      <c r="F74">
        <f t="shared" si="26"/>
        <v>0.9473856462461988</v>
      </c>
    </row>
    <row r="75" spans="1:6" ht="12.75">
      <c r="A75">
        <v>210.30927835051546</v>
      </c>
      <c r="B75">
        <f t="shared" si="27"/>
        <v>25.25773195876286</v>
      </c>
      <c r="C75" s="2">
        <v>223.52941176470588</v>
      </c>
      <c r="D75">
        <f t="shared" si="24"/>
        <v>22.30740675977028</v>
      </c>
      <c r="E75" s="2">
        <f t="shared" si="25"/>
        <v>217.76278027394798</v>
      </c>
      <c r="F75">
        <f t="shared" si="26"/>
        <v>1.0550431060469032</v>
      </c>
    </row>
    <row r="76" spans="1:6" ht="12.75">
      <c r="A76">
        <v>212.88659793814435</v>
      </c>
      <c r="B76">
        <f t="shared" si="27"/>
        <v>27.835051546391753</v>
      </c>
      <c r="C76" s="2">
        <v>258.8235294117647</v>
      </c>
      <c r="D76">
        <f t="shared" si="24"/>
        <v>27.50915293510596</v>
      </c>
      <c r="E76" s="2">
        <f t="shared" si="25"/>
        <v>268.54173103317726</v>
      </c>
      <c r="F76">
        <f t="shared" si="26"/>
        <v>1.1627005658476088</v>
      </c>
    </row>
    <row r="77" spans="1:6" ht="12.75">
      <c r="A77">
        <v>214.94845360824743</v>
      </c>
      <c r="B77">
        <f t="shared" si="27"/>
        <v>29.89690721649484</v>
      </c>
      <c r="C77" s="2">
        <v>280</v>
      </c>
      <c r="D77">
        <f t="shared" si="24"/>
        <v>33.14244382869115</v>
      </c>
      <c r="E77" s="2">
        <f t="shared" si="25"/>
        <v>323.53338023246124</v>
      </c>
      <c r="F77">
        <f t="shared" si="26"/>
        <v>1.248826533688172</v>
      </c>
    </row>
    <row r="78" spans="1:6" ht="12.75">
      <c r="A78">
        <v>215.97938144329896</v>
      </c>
      <c r="B78">
        <f t="shared" si="27"/>
        <v>30.927835051546367</v>
      </c>
      <c r="C78" s="2">
        <v>305.88235294117646</v>
      </c>
      <c r="D78">
        <f t="shared" si="24"/>
        <v>36.64604885537496</v>
      </c>
      <c r="E78" s="2">
        <f t="shared" si="25"/>
        <v>357.7352388262794</v>
      </c>
      <c r="F78">
        <f t="shared" si="26"/>
        <v>1.2918895176084533</v>
      </c>
    </row>
    <row r="79" spans="1:6" ht="12.75">
      <c r="A79">
        <v>218.55670103092785</v>
      </c>
      <c r="B79">
        <f t="shared" si="27"/>
        <v>33.50515463917526</v>
      </c>
      <c r="C79" s="2">
        <v>345.88235294117646</v>
      </c>
      <c r="D79">
        <f t="shared" si="24"/>
        <v>48.346830461230894</v>
      </c>
      <c r="E79" s="2">
        <f t="shared" si="25"/>
        <v>471.95715450249213</v>
      </c>
      <c r="F79">
        <f t="shared" si="26"/>
        <v>1.399546977409159</v>
      </c>
    </row>
    <row r="80" spans="1:6" ht="12.75">
      <c r="A80">
        <v>219.58762886597938</v>
      </c>
      <c r="B80">
        <f t="shared" si="27"/>
        <v>34.53608247422679</v>
      </c>
      <c r="C80">
        <v>364.70588235294116</v>
      </c>
      <c r="D80">
        <f t="shared" si="24"/>
        <v>54.67885280644785</v>
      </c>
      <c r="E80" s="2">
        <f t="shared" si="25"/>
        <v>533.7697535867529</v>
      </c>
      <c r="F80">
        <f t="shared" si="26"/>
        <v>1.4426099613294399</v>
      </c>
    </row>
    <row r="81" spans="1:6" ht="12.75">
      <c r="A81">
        <v>221.13402061855672</v>
      </c>
      <c r="B81">
        <f t="shared" si="27"/>
        <v>36.08247422680412</v>
      </c>
      <c r="C81">
        <v>421.1764705882353</v>
      </c>
      <c r="D81">
        <f t="shared" si="24"/>
        <v>66.82918921724144</v>
      </c>
      <c r="E81" s="2">
        <f t="shared" si="25"/>
        <v>652.3801804540235</v>
      </c>
      <c r="F81">
        <f t="shared" si="26"/>
        <v>1.5072044372098632</v>
      </c>
    </row>
    <row r="82" spans="1:6" ht="12.75">
      <c r="A82">
        <v>223.1958762886598</v>
      </c>
      <c r="B82">
        <f t="shared" si="27"/>
        <v>38.14432989690721</v>
      </c>
      <c r="C82" s="2">
        <v>503.5294117647059</v>
      </c>
      <c r="D82">
        <f t="shared" si="24"/>
        <v>90.61240073830177</v>
      </c>
      <c r="E82" s="2">
        <f t="shared" si="25"/>
        <v>884.5496262548508</v>
      </c>
      <c r="F82">
        <f t="shared" si="26"/>
        <v>1.5933304050504267</v>
      </c>
    </row>
    <row r="83" spans="1:6" ht="12.75">
      <c r="A83">
        <v>225.77319587628867</v>
      </c>
      <c r="B83">
        <f t="shared" si="27"/>
        <v>40.72164948453607</v>
      </c>
      <c r="C83" s="2">
        <v>661.1764705882354</v>
      </c>
      <c r="D83">
        <f t="shared" si="24"/>
        <v>143.8523952998905</v>
      </c>
      <c r="E83" s="2">
        <f t="shared" si="25"/>
        <v>1404.2733826894073</v>
      </c>
      <c r="F83">
        <f t="shared" si="26"/>
        <v>1.700987864851131</v>
      </c>
    </row>
    <row r="84" spans="1:6" ht="12.75">
      <c r="A84">
        <v>227.83505154639175</v>
      </c>
      <c r="B84">
        <f t="shared" si="27"/>
        <v>42.78350515463916</v>
      </c>
      <c r="C84" s="2">
        <v>863.5294117647059</v>
      </c>
      <c r="D84">
        <f t="shared" si="24"/>
        <v>229.72610684202687</v>
      </c>
      <c r="E84" s="2">
        <f t="shared" si="25"/>
        <v>2242.564376315024</v>
      </c>
      <c r="F84">
        <f t="shared" si="26"/>
        <v>1.7871138326916944</v>
      </c>
    </row>
    <row r="85" spans="1:6" ht="12.75">
      <c r="A85">
        <v>229.89690721649484</v>
      </c>
      <c r="B85">
        <f t="shared" si="27"/>
        <v>44.845360824742244</v>
      </c>
      <c r="C85" s="2">
        <v>964.7058823529412</v>
      </c>
      <c r="D85">
        <f t="shared" si="24"/>
        <v>424.4689070124821</v>
      </c>
      <c r="E85" s="2">
        <f t="shared" si="25"/>
        <v>4143.625044645659</v>
      </c>
      <c r="F85">
        <f t="shared" si="26"/>
        <v>1.8732398005322577</v>
      </c>
    </row>
    <row r="86" ht="12.75"/>
    <row r="87" spans="1:3" ht="12.75">
      <c r="A87">
        <v>243.81443298969072</v>
      </c>
      <c r="B87">
        <f>A87-$A$85</f>
        <v>13.917525773195877</v>
      </c>
      <c r="C87" s="2">
        <v>-2.3529411764705883</v>
      </c>
    </row>
    <row r="88" spans="1:3" ht="12.75">
      <c r="A88">
        <v>271.64948453608247</v>
      </c>
      <c r="B88">
        <f>A88-$A$85</f>
        <v>41.75257731958763</v>
      </c>
      <c r="C88" s="2">
        <v>2.3529411764705883</v>
      </c>
    </row>
    <row r="89" spans="1:3" ht="12.75">
      <c r="A89">
        <v>296.9072164948454</v>
      </c>
      <c r="B89">
        <f>A89-$A$85</f>
        <v>67.01030927835055</v>
      </c>
      <c r="C89" s="2">
        <v>9.411764705882353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Danielle France</dc:creator>
  <cp:keywords/>
  <dc:description/>
  <cp:lastModifiedBy>Danielle France</cp:lastModifiedBy>
  <dcterms:created xsi:type="dcterms:W3CDTF">2007-04-25T02:20:05Z</dcterms:created>
  <dcterms:modified xsi:type="dcterms:W3CDTF">2007-05-03T23:28:37Z</dcterms:modified>
  <cp:category/>
  <cp:version/>
  <cp:contentType/>
  <cp:contentStatus/>
</cp:coreProperties>
</file>