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15" yWindow="135" windowWidth="12840" windowHeight="11640" activeTab="0"/>
  </bookViews>
  <sheets>
    <sheet name="Sheet1" sheetId="1" r:id="rId1"/>
  </sheets>
  <definedNames>
    <definedName name="alpha">'Sheet1'!$B$54</definedName>
    <definedName name="alphaopt">'Sheet1'!$B$52</definedName>
    <definedName name="cant">'Sheet1'!$C$17</definedName>
    <definedName name="cb">'Sheet1'!$B$41</definedName>
    <definedName name="ct">'Sheet1'!$B$33</definedName>
    <definedName name="E">'Sheet1'!$B$12</definedName>
    <definedName name="eta">'Sheet1'!$B$24</definedName>
    <definedName name="free">'Sheet1'!$C$19</definedName>
    <definedName name="Gv">'Sheet1'!$B$23</definedName>
    <definedName name="htape">'Sheet1'!$B$26</definedName>
    <definedName name="Iinfinity">'Sheet1'!$B$45</definedName>
    <definedName name="Io">'Sheet1'!$B$46</definedName>
    <definedName name="L">'Sheet1'!$B$11</definedName>
    <definedName name="mode">'Sheet1'!$B$21</definedName>
    <definedName name="other">'Sheet1'!$C$20</definedName>
    <definedName name="_xlnm.Print_Area" localSheetId="0">'Sheet1'!$A$1:$B$54</definedName>
    <definedName name="rr">'Sheet1'!$B$47</definedName>
    <definedName name="simple">'Sheet1'!$C$18</definedName>
    <definedName name="solver_adj" localSheetId="0" hidden="1">'Sheet1'!$C$83,'Sheet1'!$C$84,'Sheet1'!$C$85,'Sheet1'!$C$86</definedName>
    <definedName name="solver_lin" localSheetId="0" hidden="1">0</definedName>
    <definedName name="solver_num" localSheetId="0" hidden="1">0</definedName>
    <definedName name="solver_opt" localSheetId="0" hidden="1">'Sheet1'!$C$87</definedName>
    <definedName name="solver_typ" localSheetId="0" hidden="1">2</definedName>
    <definedName name="solver_val" localSheetId="0" hidden="1">0</definedName>
    <definedName name="wb">'Sheet1'!$B$38</definedName>
    <definedName name="wt">'Sheet1'!$B$30</definedName>
  </definedNames>
  <calcPr fullCalcOnLoad="1"/>
</workbook>
</file>

<file path=xl/sharedStrings.xml><?xml version="1.0" encoding="utf-8"?>
<sst xmlns="http://schemas.openxmlformats.org/spreadsheetml/2006/main" count="99" uniqueCount="87">
  <si>
    <t>CLDdes.XLS</t>
  </si>
  <si>
    <t>To design constrained layer dampers for a rectangular beam with plate CLDs</t>
  </si>
  <si>
    <t>Written by Alex Slocum.  Theory by Layton Hale.  Last modified 12/19/95 by AS</t>
  </si>
  <si>
    <t>Only change cells with boldface numbers.</t>
  </si>
  <si>
    <t>User inputs from CAD system</t>
  </si>
  <si>
    <t>Structural beam</t>
  </si>
  <si>
    <t>for complex shape beams</t>
  </si>
  <si>
    <t>Outside height (m)</t>
  </si>
  <si>
    <t>Outside width (m)</t>
  </si>
  <si>
    <t>Inside height (m)</t>
  </si>
  <si>
    <t>Inside width (m)</t>
  </si>
  <si>
    <t>Length (m) [L]</t>
  </si>
  <si>
    <t>Modulus of elasticity (Pa) E</t>
  </si>
  <si>
    <t>Moment of inertia (m^4)</t>
  </si>
  <si>
    <t>Cross section area (m^2)</t>
  </si>
  <si>
    <t>Distance: structure nuetral axis and I∞ nuetral axis (m)</t>
  </si>
  <si>
    <t>Beam constraints</t>
  </si>
  <si>
    <t>Cantilever [cant] (constrained layer attached at wall)</t>
  </si>
  <si>
    <t>End Condition</t>
  </si>
  <si>
    <t>Zero Shear location</t>
  </si>
  <si>
    <t>Leff</t>
  </si>
  <si>
    <t>Simply supported [simple]</t>
  </si>
  <si>
    <t>Fixed-free</t>
  </si>
  <si>
    <t>Fixed end</t>
  </si>
  <si>
    <t>0.613L</t>
  </si>
  <si>
    <t>Free-free [free]</t>
  </si>
  <si>
    <t>Free end</t>
  </si>
  <si>
    <t>0.314L</t>
  </si>
  <si>
    <t>Cantilever-simple [other]</t>
  </si>
  <si>
    <t>0.4L</t>
  </si>
  <si>
    <t>0.229L</t>
  </si>
  <si>
    <t>Fundemental mode shape [mode]</t>
  </si>
  <si>
    <t>Pinned-Pinned</t>
  </si>
  <si>
    <t>Center</t>
  </si>
  <si>
    <t>0.318L</t>
  </si>
  <si>
    <t>Viscoelastic damping layer properties</t>
  </si>
  <si>
    <t>Fixed-Fixed</t>
  </si>
  <si>
    <t>0.160L</t>
  </si>
  <si>
    <t>Re(Gv) (Elastic storage shear modulus) Gv</t>
  </si>
  <si>
    <t>Free-Free</t>
  </si>
  <si>
    <t>Loss factor n [eta]</t>
  </si>
  <si>
    <t>Optimal thickness (calculated below) (mm)</t>
  </si>
  <si>
    <t>Desired thickness to use (available damping tape thickness) (mm) [htape]</t>
  </si>
  <si>
    <t>Top surface constraining layer (may be 0)</t>
  </si>
  <si>
    <t>Height (m)</t>
  </si>
  <si>
    <t>Width (m)</t>
  </si>
  <si>
    <t>Width constraining layer covers (m) [wt]</t>
  </si>
  <si>
    <t>Distance: constraining layer and structure's nuetral axes (m) [ct]</t>
  </si>
  <si>
    <t>Distance: constraining layer nuetral axis and I∞ nuetral axis (m)</t>
  </si>
  <si>
    <t>Bottom surface constraining layer (must exist)</t>
  </si>
  <si>
    <t>Width constraining layer covers (m) [wb]</t>
  </si>
  <si>
    <t>Distance: constraining layer and structure's nuetral axes (m) [cb]</t>
  </si>
  <si>
    <t>System cross section properties</t>
  </si>
  <si>
    <t>Location of I∞ nuetral axis from bottom of bottom constraining layer</t>
  </si>
  <si>
    <t>I∞ (m^4) [Iinfinity]</t>
  </si>
  <si>
    <t>Io (m^4) [Io]</t>
  </si>
  <si>
    <t>Stiffness factor  r = (I∞/Io-1) [rr]</t>
  </si>
  <si>
    <t>Damping calculations</t>
  </si>
  <si>
    <t>Minimum Q with the viscoelastic material selected &amp; hopt</t>
  </si>
  <si>
    <t>h structure 0.01</t>
  </si>
  <si>
    <t>Theoretical minimum possible Q</t>
  </si>
  <si>
    <t>h bottom</t>
  </si>
  <si>
    <t>Q</t>
  </si>
  <si>
    <t>1e9*Ko</t>
  </si>
  <si>
    <t>Q obtained wih the damping tape thickness [htape] available</t>
  </si>
  <si>
    <t>Kviscolayer/kconstraining layer = alpha optimal [alphaopt]</t>
  </si>
  <si>
    <t>Optimal damping layer thickness (mm) [hopt]</t>
  </si>
  <si>
    <t>alpha for given damping tape thickness htape [alpha]</t>
  </si>
  <si>
    <t>Check properties of a beam</t>
  </si>
  <si>
    <t>H</t>
  </si>
  <si>
    <t>W</t>
  </si>
  <si>
    <t>L</t>
  </si>
  <si>
    <t>I</t>
  </si>
  <si>
    <t>A</t>
  </si>
  <si>
    <t>h structure 0.02</t>
  </si>
  <si>
    <t>F</t>
  </si>
  <si>
    <t>density</t>
  </si>
  <si>
    <t>E</t>
  </si>
  <si>
    <t>weight (kg)</t>
  </si>
  <si>
    <t>defl</t>
  </si>
  <si>
    <t>w1 (Hz)</t>
  </si>
  <si>
    <t>zeta</t>
  </si>
  <si>
    <t>w1damped</t>
  </si>
  <si>
    <t>EAR C1002</t>
  </si>
  <si>
    <t>Temperature</t>
  </si>
  <si>
    <t>frequency</t>
  </si>
  <si>
    <t>3M ISD112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</si>
</sst>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E+00"/>
    <numFmt numFmtId="167" formatCode="0E+00"/>
    <numFmt numFmtId="168" formatCode="0.0000000"/>
    <numFmt numFmtId="169" formatCode="0.000000"/>
    <numFmt numFmtId="170" formatCode="0.00000"/>
    <numFmt numFmtId="171" formatCode="0.0000"/>
    <numFmt numFmtId="172" formatCode="0.00000000"/>
    <numFmt numFmtId="173" formatCode="_(* #,##0.0_);_(* \(#,##0.0\);_(* &quot;-&quot;??_);_(@_)"/>
    <numFmt numFmtId="174" formatCode="_(* #,##0_);_(* \(#,##0\);_(* &quot;-&quot;??_);_(@_)"/>
    <numFmt numFmtId="175" formatCode="0.000000000"/>
    <numFmt numFmtId="176" formatCode="0.000E+00"/>
    <numFmt numFmtId="177" formatCode="0.0000E+00"/>
    <numFmt numFmtId="178" formatCode="_(* #,##0.000_);_(* \(#,##0.00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ms Rmn"/>
      <family val="0"/>
    </font>
    <font>
      <sz val="12"/>
      <name val="Tms Rmn"/>
      <family val="0"/>
    </font>
    <font>
      <b/>
      <i/>
      <sz val="12"/>
      <name val="Tms Rmn"/>
      <family val="0"/>
    </font>
    <font>
      <b/>
      <sz val="14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4" fontId="5" fillId="0" borderId="0" xfId="15" applyNumberFormat="1" applyFont="1" applyAlignment="1">
      <alignment/>
    </xf>
    <xf numFmtId="164" fontId="0" fillId="0" borderId="0" xfId="0" applyNumberFormat="1" applyAlignment="1">
      <alignment/>
    </xf>
    <xf numFmtId="174" fontId="0" fillId="0" borderId="0" xfId="15" applyNumberFormat="1" applyAlignment="1">
      <alignment/>
    </xf>
    <xf numFmtId="166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1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3" fillId="0" borderId="0" xfId="15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70.00390625" style="4" customWidth="1"/>
    <col min="2" max="2" width="22.375" style="4" customWidth="1"/>
    <col min="3" max="3" width="18.875" style="4" customWidth="1"/>
    <col min="4" max="4" width="10.75390625" style="4" customWidth="1"/>
    <col min="5" max="16384" width="11.375" style="0" customWidth="1"/>
  </cols>
  <sheetData>
    <row r="1" ht="15.75">
      <c r="A1" s="3" t="s">
        <v>0</v>
      </c>
    </row>
    <row r="2" ht="15.75">
      <c r="A2" s="3" t="s">
        <v>1</v>
      </c>
    </row>
    <row r="3" ht="15.75">
      <c r="A3" s="3" t="s">
        <v>2</v>
      </c>
    </row>
    <row r="4" ht="15.75">
      <c r="A4" s="3" t="s">
        <v>3</v>
      </c>
    </row>
    <row r="5" ht="15.75">
      <c r="C5" s="3" t="s">
        <v>4</v>
      </c>
    </row>
    <row r="6" spans="1:3" ht="18">
      <c r="A6" s="13" t="s">
        <v>5</v>
      </c>
      <c r="C6" s="14" t="s">
        <v>6</v>
      </c>
    </row>
    <row r="7" spans="1:2" ht="15.75">
      <c r="A7" s="4" t="s">
        <v>7</v>
      </c>
      <c r="B7" s="3">
        <f>3.75/39.37</f>
        <v>0.09525019050038101</v>
      </c>
    </row>
    <row r="8" spans="1:2" ht="15.75">
      <c r="A8" s="4" t="s">
        <v>8</v>
      </c>
      <c r="B8" s="3">
        <f>2.875/39.37</f>
        <v>0.0730251460502921</v>
      </c>
    </row>
    <row r="9" spans="1:2" ht="15.75">
      <c r="A9" s="4" t="s">
        <v>9</v>
      </c>
      <c r="B9" s="3">
        <v>0</v>
      </c>
    </row>
    <row r="10" spans="1:2" ht="15.75">
      <c r="A10" s="4" t="s">
        <v>10</v>
      </c>
      <c r="B10" s="3">
        <v>0</v>
      </c>
    </row>
    <row r="11" spans="1:2" ht="15.75">
      <c r="A11" s="4" t="s">
        <v>11</v>
      </c>
      <c r="B11" s="3">
        <v>1.2</v>
      </c>
    </row>
    <row r="12" spans="1:3" ht="15.75">
      <c r="A12" s="4" t="s">
        <v>12</v>
      </c>
      <c r="B12" s="3">
        <f>20000000*6900</f>
        <v>138000000000</v>
      </c>
      <c r="C12"/>
    </row>
    <row r="13" spans="1:3" ht="15.75">
      <c r="A13" s="4" t="s">
        <v>13</v>
      </c>
      <c r="B13" s="5">
        <f>(B8*B7^3-B10*B9^3)/12</f>
        <v>5.25882534069136E-06</v>
      </c>
      <c r="C13"/>
    </row>
    <row r="14" spans="1:2" ht="15.75">
      <c r="A14" s="4" t="s">
        <v>14</v>
      </c>
      <c r="B14" s="5">
        <f>B7*B8-B9*B10</f>
        <v>0.006955659072608469</v>
      </c>
    </row>
    <row r="15" spans="1:2" ht="15.75">
      <c r="A15" s="4" t="s">
        <v>15</v>
      </c>
      <c r="B15" s="6">
        <f>B7/2+B26/1000+B36-B44</f>
        <v>0.031635692597248875</v>
      </c>
    </row>
    <row r="16" spans="1:2" ht="18">
      <c r="A16" s="13" t="s">
        <v>16</v>
      </c>
      <c r="B16" s="6"/>
    </row>
    <row r="17" spans="1:8" ht="15.75">
      <c r="A17" s="4" t="s">
        <v>17</v>
      </c>
      <c r="B17" s="6" t="b">
        <v>0</v>
      </c>
      <c r="C17" s="6">
        <f>0.613^2</f>
        <v>0.37576899999999996</v>
      </c>
      <c r="D17">
        <f>1/C17</f>
        <v>2.661209413229937</v>
      </c>
      <c r="F17" s="4" t="s">
        <v>18</v>
      </c>
      <c r="G17" t="s">
        <v>19</v>
      </c>
      <c r="H17" t="s">
        <v>20</v>
      </c>
    </row>
    <row r="18" spans="1:8" ht="15.75">
      <c r="A18" s="4" t="s">
        <v>21</v>
      </c>
      <c r="B18" s="6" t="b">
        <v>1</v>
      </c>
      <c r="C18" s="6">
        <f>0.318^2</f>
        <v>0.101124</v>
      </c>
      <c r="D18">
        <f>1/C18</f>
        <v>9.888849333491555</v>
      </c>
      <c r="F18" s="4" t="s">
        <v>22</v>
      </c>
      <c r="G18" t="s">
        <v>23</v>
      </c>
      <c r="H18" t="s">
        <v>24</v>
      </c>
    </row>
    <row r="19" spans="1:8" ht="15.75">
      <c r="A19" s="4" t="s">
        <v>25</v>
      </c>
      <c r="B19" s="6" t="b">
        <v>0</v>
      </c>
      <c r="C19" s="6">
        <f>0.314^2</f>
        <v>0.098596</v>
      </c>
      <c r="D19">
        <f>1/C19</f>
        <v>10.14239928597509</v>
      </c>
      <c r="F19" s="4"/>
      <c r="G19" t="s">
        <v>26</v>
      </c>
      <c r="H19" t="s">
        <v>27</v>
      </c>
    </row>
    <row r="20" spans="1:8" ht="15.75">
      <c r="A20" s="4" t="s">
        <v>28</v>
      </c>
      <c r="B20" s="6" t="b">
        <v>0</v>
      </c>
      <c r="C20" s="6">
        <f>0.16^2</f>
        <v>0.0256</v>
      </c>
      <c r="D20">
        <f>1/C20</f>
        <v>39.0625</v>
      </c>
      <c r="F20" s="4"/>
      <c r="G20" t="s">
        <v>29</v>
      </c>
      <c r="H20" t="s">
        <v>30</v>
      </c>
    </row>
    <row r="21" spans="1:8" ht="15.75">
      <c r="A21" s="4" t="s">
        <v>31</v>
      </c>
      <c r="B21" s="6">
        <f>IF(B17=TRUE,cant,IF(B18=TRUE,simple,IF(B19=TRUE,free,other)))</f>
        <v>0.101124</v>
      </c>
      <c r="F21" s="4" t="s">
        <v>32</v>
      </c>
      <c r="G21" t="s">
        <v>33</v>
      </c>
      <c r="H21" t="s">
        <v>34</v>
      </c>
    </row>
    <row r="22" spans="1:8" ht="18">
      <c r="A22" s="13" t="s">
        <v>35</v>
      </c>
      <c r="F22" s="4" t="s">
        <v>36</v>
      </c>
      <c r="G22" t="s">
        <v>33</v>
      </c>
      <c r="H22" t="s">
        <v>37</v>
      </c>
    </row>
    <row r="23" spans="1:8" ht="15.75">
      <c r="A23" s="4" t="s">
        <v>38</v>
      </c>
      <c r="B23" s="7">
        <v>10000000</v>
      </c>
      <c r="C23" s="19">
        <f>Gv/6900</f>
        <v>1449.2753623188405</v>
      </c>
      <c r="D23"/>
      <c r="F23" s="4" t="s">
        <v>39</v>
      </c>
      <c r="G23" t="s">
        <v>33</v>
      </c>
      <c r="H23" t="s">
        <v>27</v>
      </c>
    </row>
    <row r="24" spans="1:4" ht="15.75">
      <c r="A24" s="4" t="s">
        <v>40</v>
      </c>
      <c r="B24" s="3">
        <v>1</v>
      </c>
      <c r="D24"/>
    </row>
    <row r="25" spans="1:4" ht="15.75">
      <c r="A25" s="4" t="s">
        <v>41</v>
      </c>
      <c r="B25" s="8">
        <f>B53</f>
        <v>0.8165887122856776</v>
      </c>
      <c r="D25"/>
    </row>
    <row r="26" spans="1:4" ht="15.75">
      <c r="A26" s="4" t="s">
        <v>42</v>
      </c>
      <c r="B26" s="21">
        <v>1</v>
      </c>
      <c r="D26"/>
    </row>
    <row r="27" spans="1:4" ht="18">
      <c r="A27" s="13" t="s">
        <v>43</v>
      </c>
      <c r="D27"/>
    </row>
    <row r="28" spans="1:4" ht="15.75">
      <c r="A28" s="4" t="s">
        <v>44</v>
      </c>
      <c r="B28" s="3">
        <v>0</v>
      </c>
      <c r="D28"/>
    </row>
    <row r="29" spans="1:4" ht="15.75">
      <c r="A29" s="4" t="s">
        <v>45</v>
      </c>
      <c r="B29" s="3">
        <v>0</v>
      </c>
      <c r="D29"/>
    </row>
    <row r="30" spans="1:3" ht="15.75">
      <c r="A30" s="4" t="s">
        <v>46</v>
      </c>
      <c r="B30" s="3">
        <v>0</v>
      </c>
      <c r="C30"/>
    </row>
    <row r="31" spans="1:3" ht="15.75">
      <c r="A31" s="4" t="s">
        <v>13</v>
      </c>
      <c r="B31" s="5">
        <f>B29*B28^3/12</f>
        <v>0</v>
      </c>
      <c r="C31"/>
    </row>
    <row r="32" spans="1:3" ht="15.75">
      <c r="A32" s="4" t="s">
        <v>14</v>
      </c>
      <c r="B32" s="5">
        <f>B28*B29</f>
        <v>0</v>
      </c>
      <c r="C32"/>
    </row>
    <row r="33" spans="1:3" ht="15.75">
      <c r="A33" s="4" t="s">
        <v>47</v>
      </c>
      <c r="B33" s="6">
        <f>B28/2+B26/1000+B7/2</f>
        <v>0.04862509525019051</v>
      </c>
      <c r="C33"/>
    </row>
    <row r="34" spans="1:3" ht="15.75">
      <c r="A34" s="4" t="s">
        <v>48</v>
      </c>
      <c r="B34" s="6">
        <f>B28/2+B26/1000+B36+B7+B26/1000-B44</f>
        <v>0.0802607878474394</v>
      </c>
      <c r="C34"/>
    </row>
    <row r="35" spans="1:3" ht="18">
      <c r="A35" s="13" t="s">
        <v>49</v>
      </c>
      <c r="C35"/>
    </row>
    <row r="36" spans="1:3" ht="15.75">
      <c r="A36" s="4" t="s">
        <v>44</v>
      </c>
      <c r="B36" s="3">
        <f>1/25.4</f>
        <v>0.03937007874015748</v>
      </c>
      <c r="C36"/>
    </row>
    <row r="37" spans="1:3" ht="15.75">
      <c r="A37" s="4" t="s">
        <v>45</v>
      </c>
      <c r="B37" s="3">
        <f>6/39.37</f>
        <v>0.15240030480060962</v>
      </c>
      <c r="C37"/>
    </row>
    <row r="38" spans="1:3" ht="15.75">
      <c r="A38" s="4" t="s">
        <v>50</v>
      </c>
      <c r="B38" s="3">
        <f>3.75/39.75</f>
        <v>0.09433962264150944</v>
      </c>
      <c r="C38"/>
    </row>
    <row r="39" spans="1:3" ht="15.75">
      <c r="A39" s="4" t="s">
        <v>13</v>
      </c>
      <c r="B39" s="5">
        <f>B37*B36^3/12</f>
        <v>7.750031000093001E-07</v>
      </c>
      <c r="C39"/>
    </row>
    <row r="40" spans="1:3" ht="15.75">
      <c r="A40" s="4" t="s">
        <v>14</v>
      </c>
      <c r="B40" s="5">
        <f>B36*B37</f>
        <v>0.006000012000024001</v>
      </c>
      <c r="C40"/>
    </row>
    <row r="41" spans="1:3" ht="15.75">
      <c r="A41" s="4" t="s">
        <v>51</v>
      </c>
      <c r="B41" s="6">
        <f>B36/2+B26/1000+B7/2</f>
        <v>0.06831013462026925</v>
      </c>
      <c r="C41"/>
    </row>
    <row r="42" spans="1:3" ht="15.75">
      <c r="A42" s="4" t="s">
        <v>48</v>
      </c>
      <c r="B42" s="6">
        <f>B44-B36/2</f>
        <v>0.036674442023020365</v>
      </c>
      <c r="C42"/>
    </row>
    <row r="43" spans="1:3" ht="18">
      <c r="A43" s="13" t="s">
        <v>52</v>
      </c>
      <c r="C43"/>
    </row>
    <row r="44" spans="1:4" s="1" customFormat="1" ht="15.75">
      <c r="A44" s="4" t="s">
        <v>53</v>
      </c>
      <c r="B44" s="6">
        <f>(B40*B36/2+B14*(B7/2+B26/1000+B36)+B32*(B36+B26/1000+B7+B26/1000+B28/2))/(B14+B32+B40)</f>
        <v>0.056359481393099105</v>
      </c>
      <c r="C44"/>
      <c r="D44" s="4"/>
    </row>
    <row r="45" spans="1:4" s="1" customFormat="1" ht="15.75">
      <c r="A45" s="4" t="s">
        <v>54</v>
      </c>
      <c r="B45" s="5">
        <f>B39+B31+B13+B42^2*B40+B34^2*B32+B15^2*B14</f>
        <v>2.106527493388833E-05</v>
      </c>
      <c r="C45"/>
      <c r="D45" s="4"/>
    </row>
    <row r="46" spans="1:4" s="1" customFormat="1" ht="15.75">
      <c r="A46" s="4" t="s">
        <v>55</v>
      </c>
      <c r="B46" s="5">
        <f>B13+B39+B31</f>
        <v>6.03382844070066E-06</v>
      </c>
      <c r="C46"/>
      <c r="D46" s="4"/>
    </row>
    <row r="47" spans="1:4" s="1" customFormat="1" ht="15.75">
      <c r="A47" s="4" t="s">
        <v>56</v>
      </c>
      <c r="B47" s="9">
        <f>Iinfinity/Io-1</f>
        <v>2.4911955387717635</v>
      </c>
      <c r="C47"/>
      <c r="D47" s="4"/>
    </row>
    <row r="48" spans="1:7" s="1" customFormat="1" ht="18">
      <c r="A48" s="13" t="s">
        <v>57</v>
      </c>
      <c r="B48" s="9"/>
      <c r="C48"/>
      <c r="D48"/>
      <c r="E48"/>
      <c r="F48"/>
      <c r="G48"/>
    </row>
    <row r="49" spans="1:11" ht="15.75">
      <c r="A49" s="10" t="s">
        <v>58</v>
      </c>
      <c r="B49" s="11">
        <f>1/(eta*rr*alphaopt/(1+(2+rr)*alphaopt+(1+rr)*alphaopt^2*(1+eta^2)))</f>
        <v>3.924235681532992</v>
      </c>
      <c r="C49"/>
      <c r="D49"/>
      <c r="H49" s="4" t="s">
        <v>59</v>
      </c>
      <c r="I49" s="1"/>
      <c r="J49" s="1"/>
      <c r="K49" s="1"/>
    </row>
    <row r="50" spans="1:10" ht="15.75">
      <c r="A50" s="10" t="s">
        <v>60</v>
      </c>
      <c r="B50" s="11">
        <f>1/(B47/4)</f>
        <v>1.6056547700675974</v>
      </c>
      <c r="C50"/>
      <c r="D50"/>
      <c r="H50" s="4" t="s">
        <v>61</v>
      </c>
      <c r="I50" t="s">
        <v>62</v>
      </c>
      <c r="J50" t="s">
        <v>63</v>
      </c>
    </row>
    <row r="51" spans="1:11" ht="15.75">
      <c r="A51" s="10" t="s">
        <v>64</v>
      </c>
      <c r="B51" s="11">
        <f>1/(eta*rr*alpha/(1+(2+rr)*alpha+(1+rr)*alpha^2*(1+eta^2)))</f>
        <v>3.967931815569683</v>
      </c>
      <c r="C51"/>
      <c r="D51"/>
      <c r="H51" s="9">
        <v>0.001</v>
      </c>
      <c r="I51" s="25">
        <v>29.2</v>
      </c>
      <c r="J51" s="23">
        <v>2.09</v>
      </c>
      <c r="K51" s="22">
        <f aca="true" t="shared" si="0" ref="K51:K61">J51/I51</f>
        <v>0.07157534246575342</v>
      </c>
    </row>
    <row r="52" spans="1:11" ht="15.75">
      <c r="A52" s="4" t="s">
        <v>65</v>
      </c>
      <c r="B52" s="9">
        <f>1/SQRT((1+rr)*(1+eta^2))</f>
        <v>0.37844076803067406</v>
      </c>
      <c r="C52"/>
      <c r="D52"/>
      <c r="H52" s="9">
        <v>0.002</v>
      </c>
      <c r="I52" s="25">
        <v>11.3</v>
      </c>
      <c r="J52" s="23">
        <v>2.1</v>
      </c>
      <c r="K52" s="22">
        <f t="shared" si="0"/>
        <v>0.18584070796460175</v>
      </c>
    </row>
    <row r="53" spans="1:11" s="2" customFormat="1" ht="15.75">
      <c r="A53" s="10" t="s">
        <v>66</v>
      </c>
      <c r="B53" s="12">
        <f>1000*Gv*(wb*cb^2+wt*ct^2)*L^2*mode/(alphaopt*E*(Iinfinity-Io))</f>
        <v>0.8165887122856776</v>
      </c>
      <c r="C53"/>
      <c r="D53"/>
      <c r="E53"/>
      <c r="F53"/>
      <c r="G53"/>
      <c r="H53" s="9">
        <v>0.004</v>
      </c>
      <c r="I53" s="25">
        <v>5.5</v>
      </c>
      <c r="J53" s="23">
        <v>2.22</v>
      </c>
      <c r="K53" s="22">
        <f t="shared" si="0"/>
        <v>0.4036363636363637</v>
      </c>
    </row>
    <row r="54" spans="1:11" ht="15.75">
      <c r="A54" s="4" t="s">
        <v>67</v>
      </c>
      <c r="B54" s="9">
        <f>Gv*(wb*cb^2+wt*ct^2)*L^2*mode/((htape/1000)*E*(Iinfinity-Io))</f>
        <v>0.3090304594425709</v>
      </c>
      <c r="C54"/>
      <c r="D54"/>
      <c r="H54" s="9">
        <v>0.006</v>
      </c>
      <c r="I54" s="25">
        <v>4</v>
      </c>
      <c r="J54" s="24">
        <v>2.53</v>
      </c>
      <c r="K54" s="22">
        <f t="shared" si="0"/>
        <v>0.6325</v>
      </c>
    </row>
    <row r="55" spans="4:11" ht="15.75">
      <c r="D55"/>
      <c r="H55" s="9">
        <v>0.008</v>
      </c>
      <c r="I55" s="25">
        <v>3.5</v>
      </c>
      <c r="J55" s="23">
        <v>3.15</v>
      </c>
      <c r="K55" s="22">
        <f t="shared" si="0"/>
        <v>0.9</v>
      </c>
    </row>
    <row r="56" spans="1:11" ht="15.75">
      <c r="A56"/>
      <c r="B56"/>
      <c r="C56"/>
      <c r="D56"/>
      <c r="H56" s="9">
        <v>0.01</v>
      </c>
      <c r="I56" s="25">
        <v>3.3</v>
      </c>
      <c r="J56" s="23">
        <v>4.17</v>
      </c>
      <c r="K56" s="22">
        <f t="shared" si="0"/>
        <v>1.2636363636363637</v>
      </c>
    </row>
    <row r="57" spans="1:11" ht="15.75">
      <c r="A57"/>
      <c r="B57" t="s">
        <v>68</v>
      </c>
      <c r="C57"/>
      <c r="D57"/>
      <c r="H57" s="9">
        <v>0.012</v>
      </c>
      <c r="I57" s="25">
        <v>3.3</v>
      </c>
      <c r="J57" s="23">
        <v>5.68</v>
      </c>
      <c r="K57" s="22">
        <f t="shared" si="0"/>
        <v>1.7212121212121212</v>
      </c>
    </row>
    <row r="58" spans="1:11" ht="15.75">
      <c r="A58"/>
      <c r="B58" s="4" t="s">
        <v>69</v>
      </c>
      <c r="C58" s="3">
        <v>0.02</v>
      </c>
      <c r="D58"/>
      <c r="H58" s="9">
        <v>0.014</v>
      </c>
      <c r="I58" s="25">
        <v>3.4</v>
      </c>
      <c r="J58" s="23">
        <v>7.8</v>
      </c>
      <c r="K58" s="22">
        <f t="shared" si="0"/>
        <v>2.2941176470588234</v>
      </c>
    </row>
    <row r="59" spans="1:11" ht="15.75">
      <c r="A59"/>
      <c r="B59" s="4" t="s">
        <v>70</v>
      </c>
      <c r="C59" s="3">
        <v>0.025</v>
      </c>
      <c r="D59"/>
      <c r="H59" s="9">
        <v>0.016</v>
      </c>
      <c r="I59" s="25">
        <v>3.5</v>
      </c>
      <c r="J59" s="23">
        <v>10.6</v>
      </c>
      <c r="K59" s="22">
        <f t="shared" si="0"/>
        <v>3.0285714285714285</v>
      </c>
    </row>
    <row r="60" spans="1:11" ht="15.75">
      <c r="A60"/>
      <c r="B60" s="4" t="s">
        <v>71</v>
      </c>
      <c r="C60" s="3">
        <v>0.25</v>
      </c>
      <c r="D60"/>
      <c r="H60" s="9">
        <v>0.018</v>
      </c>
      <c r="I60" s="25">
        <v>3.7</v>
      </c>
      <c r="J60" s="23">
        <v>14.2</v>
      </c>
      <c r="K60" s="22">
        <f t="shared" si="0"/>
        <v>3.8378378378378373</v>
      </c>
    </row>
    <row r="61" spans="2:11" ht="15.75">
      <c r="B61" s="4" t="s">
        <v>72</v>
      </c>
      <c r="C61" s="4">
        <f>C59*C58^3/12</f>
        <v>1.666666666666667E-08</v>
      </c>
      <c r="D61" s="9"/>
      <c r="E61" s="25"/>
      <c r="F61" s="23"/>
      <c r="G61" s="22"/>
      <c r="H61" s="9">
        <v>0.02</v>
      </c>
      <c r="I61" s="25">
        <v>4</v>
      </c>
      <c r="J61" s="23">
        <v>18.8</v>
      </c>
      <c r="K61" s="22">
        <f t="shared" si="0"/>
        <v>4.7</v>
      </c>
    </row>
    <row r="62" spans="2:7" ht="15.75">
      <c r="B62" s="4" t="s">
        <v>73</v>
      </c>
      <c r="C62" s="4">
        <f>C58*C59</f>
        <v>0.0005</v>
      </c>
      <c r="D62" s="9" t="s">
        <v>74</v>
      </c>
      <c r="E62" s="25"/>
      <c r="F62" s="23"/>
      <c r="G62" s="22"/>
    </row>
    <row r="63" spans="2:7" ht="15.75">
      <c r="B63" s="4" t="s">
        <v>75</v>
      </c>
      <c r="C63" s="3">
        <v>1</v>
      </c>
      <c r="D63" s="9" t="s">
        <v>61</v>
      </c>
      <c r="E63" s="25"/>
      <c r="F63" s="23"/>
      <c r="G63" s="22"/>
    </row>
    <row r="64" spans="2:7" ht="15.75">
      <c r="B64" t="s">
        <v>76</v>
      </c>
      <c r="C64" s="14">
        <v>7800</v>
      </c>
      <c r="D64" s="9">
        <v>0.01</v>
      </c>
      <c r="E64" s="25">
        <v>4</v>
      </c>
      <c r="F64" s="23">
        <v>18.8</v>
      </c>
      <c r="G64" s="22">
        <f>F64/E64</f>
        <v>4.7</v>
      </c>
    </row>
    <row r="65" spans="2:3" ht="15.75">
      <c r="B65" t="s">
        <v>77</v>
      </c>
      <c r="C65" s="18">
        <v>200000000000</v>
      </c>
    </row>
    <row r="66" spans="2:4" ht="15.75">
      <c r="B66" t="s">
        <v>78</v>
      </c>
      <c r="C66" s="18">
        <f>C62*C60*C64</f>
        <v>0.975</v>
      </c>
      <c r="D66" s="5"/>
    </row>
    <row r="67" spans="2:3" ht="15.75">
      <c r="B67" s="4" t="s">
        <v>79</v>
      </c>
      <c r="C67" s="5">
        <f>C63*C60^3/(48*C65*C61)</f>
        <v>9.765624999999998E-08</v>
      </c>
    </row>
    <row r="68" spans="2:3" ht="15.75">
      <c r="B68" s="4" t="s">
        <v>80</v>
      </c>
      <c r="C68" s="15">
        <f>(1/mode)*SQRT(C65*C61/(C64*C62*C60^4))/(2*PI())</f>
        <v>736.195135483041</v>
      </c>
    </row>
    <row r="69" spans="2:3" ht="15.75">
      <c r="B69" t="s">
        <v>81</v>
      </c>
      <c r="C69" s="14">
        <v>0.156</v>
      </c>
    </row>
    <row r="70" spans="2:3" ht="15.75">
      <c r="B70" t="s">
        <v>62</v>
      </c>
      <c r="C70" s="16">
        <f>1/(2*C69*SQRT(1-C69^2))</f>
        <v>3.24485478328391</v>
      </c>
    </row>
    <row r="71" spans="2:5" ht="15.75">
      <c r="B71" t="s">
        <v>82</v>
      </c>
      <c r="C71" s="17">
        <f>C68*SQRT(1-C69^2)</f>
        <v>727.1819390410054</v>
      </c>
      <c r="E71" s="20">
        <f>1/(331*2*PI())</f>
        <v>0.00048083064378216117</v>
      </c>
    </row>
    <row r="73" ht="15.75">
      <c r="B73" s="4" t="s">
        <v>83</v>
      </c>
    </row>
    <row r="74" ht="15.75">
      <c r="C74" s="4" t="s">
        <v>84</v>
      </c>
    </row>
    <row r="75" spans="2:6" ht="15.75">
      <c r="B75" s="4" t="s">
        <v>85</v>
      </c>
      <c r="C75" s="4">
        <v>10</v>
      </c>
      <c r="D75">
        <v>20</v>
      </c>
      <c r="E75">
        <v>30</v>
      </c>
      <c r="F75">
        <v>40</v>
      </c>
    </row>
    <row r="76" spans="2:5" ht="15.75">
      <c r="B76" s="4">
        <v>100</v>
      </c>
      <c r="C76" s="5">
        <v>700000000</v>
      </c>
      <c r="D76" s="20">
        <v>180000000</v>
      </c>
      <c r="E76" s="20">
        <v>60000000</v>
      </c>
    </row>
    <row r="77" spans="2:5" ht="15.75">
      <c r="B77" s="4">
        <v>200</v>
      </c>
      <c r="C77" s="5">
        <v>1000000000</v>
      </c>
      <c r="D77" s="20">
        <v>250000000</v>
      </c>
      <c r="E77" s="20">
        <v>90000000</v>
      </c>
    </row>
    <row r="78" spans="2:5" ht="15.75">
      <c r="B78" s="4">
        <v>300</v>
      </c>
      <c r="C78" s="5">
        <v>1030000000</v>
      </c>
      <c r="D78" s="20">
        <v>300000000</v>
      </c>
      <c r="E78" s="20">
        <v>100000000</v>
      </c>
    </row>
    <row r="79" spans="2:5" ht="15.75">
      <c r="B79" s="4">
        <v>500</v>
      </c>
      <c r="C79" s="5">
        <v>1070000000</v>
      </c>
      <c r="D79" s="20">
        <v>400000000</v>
      </c>
      <c r="E79" s="20">
        <v>140000000</v>
      </c>
    </row>
    <row r="80" spans="2:7" ht="15.75">
      <c r="B80" s="4">
        <v>1000</v>
      </c>
      <c r="C80" s="5">
        <v>2080000000</v>
      </c>
      <c r="D80" s="20">
        <v>600000000</v>
      </c>
      <c r="E80" s="20">
        <v>200000000</v>
      </c>
      <c r="G80" s="20">
        <f>D80*2.6</f>
        <v>1560000000</v>
      </c>
    </row>
    <row r="82" spans="2:3" ht="15.75">
      <c r="B82" t="s">
        <v>86</v>
      </c>
      <c r="C82"/>
    </row>
    <row r="83" spans="2:5" ht="15.75">
      <c r="B83"/>
      <c r="C83"/>
      <c r="E83">
        <f>1/0.015</f>
        <v>66.66666666666667</v>
      </c>
    </row>
    <row r="84" spans="2:3" ht="15.75">
      <c r="B84"/>
      <c r="C84"/>
    </row>
    <row r="85" spans="2:3" ht="15.75">
      <c r="B85"/>
      <c r="C85"/>
    </row>
    <row r="86" spans="2:3" ht="15.75">
      <c r="B86">
        <f>0.006/320^2</f>
        <v>5.859375E-08</v>
      </c>
      <c r="C86"/>
    </row>
    <row r="87" spans="2:3" ht="15.75">
      <c r="B87">
        <f>0.015/500^2</f>
        <v>6E-08</v>
      </c>
      <c r="C87"/>
    </row>
    <row r="88" ht="15.75">
      <c r="B88" s="4">
        <f>0.015*0.000000096</f>
        <v>1.44E-09</v>
      </c>
    </row>
    <row r="89" ht="15.75">
      <c r="B89" s="4">
        <f>0.015/(734*2*PI())</f>
        <v>3.252485213049632E-06</v>
      </c>
    </row>
    <row r="90" ht="15.75">
      <c r="B90" s="4">
        <f>0.015*(734*2*PI())*0.000000096</f>
        <v>6.641075542276535E-06</v>
      </c>
    </row>
    <row r="92" ht="15.75">
      <c r="B92" s="5">
        <f>3500000*2.6</f>
        <v>9100000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Sapient</cp:lastModifiedBy>
  <cp:lastPrinted>1998-01-12T21:59:15Z</cp:lastPrinted>
  <dcterms:created xsi:type="dcterms:W3CDTF">2003-06-09T10:14:26Z</dcterms:created>
  <dcterms:modified xsi:type="dcterms:W3CDTF">2003-06-09T10:14:26Z</dcterms:modified>
  <cp:category/>
  <cp:version/>
  <cp:contentType/>
  <cp:contentStatus/>
</cp:coreProperties>
</file>