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15480" windowHeight="11640" tabRatio="896" activeTab="0"/>
  </bookViews>
  <sheets>
    <sheet name="Background" sheetId="1" r:id="rId1"/>
    <sheet name="Preliminary Information" sheetId="2" r:id="rId2"/>
    <sheet name="Summary" sheetId="3" r:id="rId3"/>
    <sheet name="Costs" sheetId="4" r:id="rId4"/>
    <sheet name="OOS_Regular Sales" sheetId="5" r:id="rId5"/>
    <sheet name="Shrinkage" sheetId="6" r:id="rId6"/>
    <sheet name="Diversion" sheetId="7" r:id="rId7"/>
    <sheet name="Counterfeit" sheetId="8" r:id="rId8"/>
    <sheet name="Reconciliation_Deduction" sheetId="9" r:id="rId9"/>
    <sheet name="Obsolescence" sheetId="10" r:id="rId10"/>
    <sheet name="Production Planning" sheetId="11" r:id="rId11"/>
    <sheet name="VMI_DSD" sheetId="12" r:id="rId12"/>
    <sheet name="Promotions Management" sheetId="13" r:id="rId13"/>
    <sheet name="Operatn_Efficiency" sheetId="14" r:id="rId14"/>
    <sheet name="Track and Trace" sheetId="15" r:id="rId15"/>
    <sheet name="Ranges" sheetId="16" state="hidden" r:id="rId16"/>
    <sheet name="Ranges Graphs" sheetId="17" state="hidden" r:id="rId17"/>
    <sheet name="Ranges Graphs Calc" sheetId="18" state="hidden" r:id="rId18"/>
  </sheets>
  <definedNames>
    <definedName name="Counterfeit_flag">'Counterfeit'!$C$2</definedName>
    <definedName name="Diversion_flag">'Diversion'!$C$2</definedName>
    <definedName name="Obsoles_flag">'Obsolescence'!$C$2</definedName>
    <definedName name="OOS_Flag">'OOS_Regular Sales'!$C$2</definedName>
    <definedName name="OpnEff_flag">'Operatn_Efficiency'!$C$2</definedName>
    <definedName name="PP_flag">'Production Planning'!$C$2</definedName>
    <definedName name="Promo_flag">'Promotions Management'!$C$2</definedName>
    <definedName name="Recon_flag">'Reconciliation_Deduction'!$C$2</definedName>
    <definedName name="Shrinkage_flag">'Shrinkage'!$C$2</definedName>
    <definedName name="TrackTrace_flag">'Track and Trace'!$C$2</definedName>
    <definedName name="VMI_flag">'VMI_DSD'!$C$2</definedName>
    <definedName name="Z_1FC799F9_D039_4127_89FA_5C039EAE21A8_.wvu.Rows" localSheetId="9" hidden="1">'Obsolescence'!$4:$4</definedName>
    <definedName name="Z_1FC799F9_D039_4127_89FA_5C039EAE21A8_.wvu.Rows" localSheetId="5" hidden="1">'Shrinkage'!$4:$4</definedName>
    <definedName name="Z_D48A6E11_3B13_4EE2_85AA_D11ACA73ED6F_.wvu.Rows" localSheetId="3" hidden="1">'Costs'!$12:$19,'Costs'!$34:$41</definedName>
    <definedName name="Z_D48A6E11_3B13_4EE2_85AA_D11ACA73ED6F_.wvu.Rows" localSheetId="9" hidden="1">'Obsolescence'!$4:$4</definedName>
  </definedNames>
  <calcPr fullCalcOnLoad="1"/>
</workbook>
</file>

<file path=xl/sharedStrings.xml><?xml version="1.0" encoding="utf-8"?>
<sst xmlns="http://schemas.openxmlformats.org/spreadsheetml/2006/main" count="894" uniqueCount="402">
  <si>
    <r>
      <t>Diversion:</t>
    </r>
    <r>
      <rPr>
        <sz val="10"/>
        <rFont val="Arial"/>
        <family val="0"/>
      </rPr>
      <t xml:space="preserve"> Product diversion leads to lower availability of the product in target markets. Reduction in diversion will improve product availability in the designated market and thus increases the service level.</t>
    </r>
  </si>
  <si>
    <r>
      <t>Counterfeit:</t>
    </r>
    <r>
      <rPr>
        <sz val="10"/>
        <rFont val="Arial"/>
        <family val="0"/>
      </rPr>
      <t xml:space="preserve"> Product counterfeiting reduces the quality of product sold and might lead (especially for pharmaceuticals), to life threatneing situations. RFID reduces the chance of poduct counterfeiting and thus improves the quality and service.</t>
    </r>
  </si>
  <si>
    <r>
      <t xml:space="preserve">Production Planning: </t>
    </r>
    <r>
      <rPr>
        <sz val="10"/>
        <rFont val="Arial"/>
        <family val="2"/>
      </rPr>
      <t>Improvements in production planning increases the chances for having the right product available at the right place and at the right time, thus improving fill rates and service levels. In addition, it reduces the costs associated with poor production planning</t>
    </r>
  </si>
  <si>
    <t>Vendor managed inventory (VMI) is a replenishment process by which the supplier takes responsibility of maintaining the inventory at customer sites (usually at their DCs). With Direct-Store-Delivery (DSD) the manufacturer is in charge of replenishment shelf inventory at the retail stores. Successful implementation of VMI and DSD depends on accuracy of demand information from customer site. RFID can help improve the cost-efficiency of these programs and the service levels provided to customers by providing a real-time view of on-hand inventory, and by reducing replenishment time through automatic scanning.</t>
  </si>
  <si>
    <t>Average annual employee salary (drivers)</t>
  </si>
  <si>
    <t>No. of drivers in charge of inventory replenishment at customer site</t>
  </si>
  <si>
    <t xml:space="preserve">Accuracy of production planning for promotions                                                                      .                                                                                                                               </t>
  </si>
  <si>
    <t>Average annual expedite expense and over-time costs</t>
  </si>
  <si>
    <t>Other expenses per year</t>
  </si>
  <si>
    <t>Expected increase with improved brand confidence</t>
  </si>
  <si>
    <t>Reduction in production costs</t>
  </si>
  <si>
    <t>Payments from retailers</t>
  </si>
  <si>
    <t>Expected rev. lost due to wrong quantity shipment (dispatched more than ordered)</t>
  </si>
  <si>
    <t>Additional costs</t>
  </si>
  <si>
    <t>Additional shipping cost to ship the right quantity (in situations when shipped is less than ordered)</t>
  </si>
  <si>
    <t>Additional shipping cost to ship the right product (2-way shipping: cost to ship the wrong product back to mfgr. + cost to ship the right product to retailer)</t>
  </si>
  <si>
    <t>Reduction in production scrap (component counterfeit)</t>
  </si>
  <si>
    <t xml:space="preserve">Other factors                                                                      .                                                                                                                               </t>
  </si>
  <si>
    <t xml:space="preserve">Other factors                                                                     .                                                                                                                               </t>
  </si>
  <si>
    <t>Costs incurred do prevent OOS</t>
  </si>
  <si>
    <t>Wrong quantity (less than ordered)/product shipped</t>
  </si>
  <si>
    <t xml:space="preserve">RFID is expected to have a positive impact on the service levels provided to a firm's customers. While the Calculator does not provide an accurate estimate of </t>
  </si>
  <si>
    <t>the percent improment in service level, listed below are the business drivers / business issues that are likely to have an impact on service levels.</t>
  </si>
  <si>
    <r>
      <t>Out-of-stock:</t>
    </r>
    <r>
      <rPr>
        <sz val="10"/>
        <rFont val="Arial"/>
        <family val="0"/>
      </rPr>
      <t xml:space="preserve"> With lower level of OOS, especially at the store level, products are more available to the customers, resulting in higher fill-rate and service level</t>
    </r>
  </si>
  <si>
    <t>Expected reduction in OOS: manufacturer level:</t>
  </si>
  <si>
    <t>Expected reduction in OOS: retailer level, regular sales:</t>
  </si>
  <si>
    <t>Expected reduction in OOS: retailer level, promotions:</t>
  </si>
  <si>
    <t>Shrinkage is a massive problem which affects both the retailer and the supplier. Apart from the direct losses from theft, shrinkage has a number of knock-on effects whose combined impact may exceed that of shrinkage itself. First, shrinkage affects inventory accuracy and leads to out-of-stocks, which may result in significant opportunity costs. Second, shrinkage may lead to defensive merchandising, which may affect product sales. Third, stolen products may re-enter the supply chain in the grey market, and compete with products sold through the legitimate channels. Finally, when shrinkage occur during transportation, it may lead to charge-back problems as well.</t>
  </si>
  <si>
    <t>Current worldwide annual sales (total revenues)</t>
  </si>
  <si>
    <t>The exchange of materials between shippers and receivers is frequently a cause of pain and inefficiency to both parties because of manual mistakes in counting products and because of shrinkage. Process failures like shipment of wrong quantity or wrong product leads to deductions and need of reconciliation. Today, a surprisingly large number of shipments in the supply chain are disputed, and the costs of resolving these disputes are significant. RFID can significantly alleviate this problem by providing more accuracy and by reducing the costs of verification.</t>
  </si>
  <si>
    <t>Total deduction cost  (as % of revenues)</t>
  </si>
  <si>
    <t>Perishability</t>
  </si>
  <si>
    <t>Unattended product / poor inv. Management</t>
  </si>
  <si>
    <t>Product returns</t>
  </si>
  <si>
    <t>Overforecasting</t>
  </si>
  <si>
    <t>Added Revenues</t>
  </si>
  <si>
    <t>Added Profit</t>
  </si>
  <si>
    <t>Reduced Cost</t>
  </si>
  <si>
    <t>Poor production planning</t>
  </si>
  <si>
    <t>Poor VMI activity</t>
  </si>
  <si>
    <t>Total obsolescence (as % of revenues)</t>
  </si>
  <si>
    <t>Reduction in Obsolescence</t>
  </si>
  <si>
    <t>% Reduction with RFID</t>
  </si>
  <si>
    <t>Reduced Costs</t>
  </si>
  <si>
    <t>Improved manpower efficiency</t>
  </si>
  <si>
    <t>Frequency of inventory replenishment (trips per month)</t>
  </si>
  <si>
    <t>Overhead expense per replenishment trip to the store</t>
  </si>
  <si>
    <t>Average time (in seconds) required for each bar-code scan</t>
  </si>
  <si>
    <t>Average number scans per day</t>
  </si>
  <si>
    <t>Fully loaded direct labor cost rate for personnel involved in scanning</t>
  </si>
  <si>
    <t>Current cost of manual scanning / recording operations</t>
  </si>
  <si>
    <t xml:space="preserve">Savings due to automation with RFID </t>
  </si>
  <si>
    <t>(Reduced Costs)</t>
  </si>
  <si>
    <t>Other benefits</t>
  </si>
  <si>
    <t>(increased revenues)</t>
  </si>
  <si>
    <t>Increased throughput due to shorter lead-time (% of current revenues)</t>
  </si>
  <si>
    <t>(reduced facility costs)</t>
  </si>
  <si>
    <t>Annual expenses to track and trace inventory in the distribution network</t>
  </si>
  <si>
    <t>Other</t>
  </si>
  <si>
    <t>OUT OF STOCK (OOS) - Regular sales</t>
  </si>
  <si>
    <t>Improvements in Promotions Management</t>
  </si>
  <si>
    <t>Number of warehouses</t>
  </si>
  <si>
    <t>Number of production facilities</t>
  </si>
  <si>
    <t>Warehouse</t>
  </si>
  <si>
    <t xml:space="preserve"> TOTAL</t>
  </si>
  <si>
    <t xml:space="preserve"> </t>
  </si>
  <si>
    <t>BENEFITS</t>
  </si>
  <si>
    <t>Reduction in Shrinkage</t>
  </si>
  <si>
    <t>Reduction in Product Diversion</t>
  </si>
  <si>
    <t>Reduction in Counterfeiting</t>
  </si>
  <si>
    <t>Improvement in Production Planning</t>
  </si>
  <si>
    <t>Improvement in VMI / DSD activities</t>
  </si>
  <si>
    <t>Improvement in Operational Efficiency</t>
  </si>
  <si>
    <t>NPV Calculation</t>
  </si>
  <si>
    <t>Supply Chain Structure:</t>
  </si>
  <si>
    <t>MANUFACTURER</t>
  </si>
  <si>
    <t>GENERAL</t>
  </si>
  <si>
    <t>COST</t>
  </si>
  <si>
    <t>Inaccuracy in inv. management systems</t>
  </si>
  <si>
    <t>Data problems in ERP</t>
  </si>
  <si>
    <t>Physical inventory placement problems</t>
  </si>
  <si>
    <t>Quality issues</t>
  </si>
  <si>
    <t>Inv. held-up due to quality problems</t>
  </si>
  <si>
    <t>Percentage</t>
  </si>
  <si>
    <t>%</t>
  </si>
  <si>
    <t>Total</t>
  </si>
  <si>
    <t>OOS due to this cause</t>
  </si>
  <si>
    <t>Expected OOS after RFID</t>
  </si>
  <si>
    <t>Inv. in factory and not delivered to W/H</t>
  </si>
  <si>
    <t>Inv. on wrong shelf in W/H</t>
  </si>
  <si>
    <t>Shrinkage</t>
  </si>
  <si>
    <t>Theft</t>
  </si>
  <si>
    <t>Obsolescence</t>
  </si>
  <si>
    <t>External (burglary)</t>
  </si>
  <si>
    <t>Internal (during production, in W/H)</t>
  </si>
  <si>
    <t>Diversion</t>
  </si>
  <si>
    <t>% Margin (Profit)</t>
  </si>
  <si>
    <t>OOS due to under forecasting</t>
  </si>
  <si>
    <t>Under forecast during regular product sales</t>
  </si>
  <si>
    <t>Unreliable delivery from supplier</t>
  </si>
  <si>
    <t>Late delivery of raw materials</t>
  </si>
  <si>
    <t>Quality issues (raw material)</t>
  </si>
  <si>
    <t>Inaccurate recording (scanning) of outgoing goods</t>
  </si>
  <si>
    <t>Other reasons</t>
  </si>
  <si>
    <t>Color coding used in the sheets is as follows:</t>
  </si>
  <si>
    <t>User Input (users are requested to enter data here)</t>
  </si>
  <si>
    <t>Result / Summary</t>
  </si>
  <si>
    <t>Title of the worksheet</t>
  </si>
  <si>
    <t>All Carriers</t>
  </si>
  <si>
    <t>Shrinkage due to process failures</t>
  </si>
  <si>
    <t>Items delivered to wrong location</t>
  </si>
  <si>
    <t>Expected annual business growth rate</t>
  </si>
  <si>
    <t>One-time average cost per production facility:</t>
  </si>
  <si>
    <t xml:space="preserve">   Hardware expense (Including readers)</t>
  </si>
  <si>
    <t xml:space="preserve">   Software expense</t>
  </si>
  <si>
    <t xml:space="preserve">   Consulting and Systems Integration</t>
  </si>
  <si>
    <t xml:space="preserve">   Other infrastructure change expense (for readability of tags etc)</t>
  </si>
  <si>
    <t xml:space="preserve">   Internal project teams</t>
  </si>
  <si>
    <t xml:space="preserve">   Total annual cost of tags used for production tracking</t>
  </si>
  <si>
    <t xml:space="preserve">   Total annual maintenance costs</t>
  </si>
  <si>
    <t xml:space="preserve">   Additional mfg. floor labor (Number * annual pay)</t>
  </si>
  <si>
    <t xml:space="preserve">   Annual cost of readers</t>
  </si>
  <si>
    <t xml:space="preserve">   Training and other costs</t>
  </si>
  <si>
    <t>One-time average cost per warehouse:</t>
  </si>
  <si>
    <t>Recurring average cost per warehouse:</t>
  </si>
  <si>
    <t xml:space="preserve">   Total annual cost of tags</t>
  </si>
  <si>
    <t xml:space="preserve">   Maintenance costs per year</t>
  </si>
  <si>
    <t xml:space="preserve">   Additional warehouse labor (Number * annual pay)</t>
  </si>
  <si>
    <t>Current annual revenue</t>
  </si>
  <si>
    <t>Total OOS at the Manufacturer's level (as % of revenues)</t>
  </si>
  <si>
    <t>Under forecast / demand uncert. during product transition</t>
  </si>
  <si>
    <t>Inaccurate physical count</t>
  </si>
  <si>
    <t>Late delivery to DC / store</t>
  </si>
  <si>
    <t>Unreliable delivery</t>
  </si>
  <si>
    <t>Incomplete delivery of raw materials</t>
  </si>
  <si>
    <t>Inaccurate checkout recording (scanning)</t>
  </si>
  <si>
    <t>Inv. on wrong store shelf</t>
  </si>
  <si>
    <t>Inv. in backroom, not delivered to store shelves</t>
  </si>
  <si>
    <t>Reduction in Out of Stock (OOS) - Mfr. Level</t>
  </si>
  <si>
    <t>Reduction in Out of Stock (OOS) - Retailer level</t>
  </si>
  <si>
    <t>Items lost while in distribution</t>
  </si>
  <si>
    <t xml:space="preserve">Cause of out of stock at the Manufacturer's level:                                                             .                                                                                                                               </t>
  </si>
  <si>
    <t xml:space="preserve">Cause of out of stock at the retailer's level:                                                                       .                                                                                                                               </t>
  </si>
  <si>
    <t>Shrinkage due to this cause</t>
  </si>
  <si>
    <t>Diversion due to this cause</t>
  </si>
  <si>
    <t xml:space="preserve">Cause of shrinkage:                                                                       .                                                                                                                               </t>
  </si>
  <si>
    <t xml:space="preserve">Cause of diversion:                                                                       .                                                                                                                               </t>
  </si>
  <si>
    <t>Fraud</t>
  </si>
  <si>
    <t>Counterfeit</t>
  </si>
  <si>
    <t>Total counterfeit (as % of revenues)</t>
  </si>
  <si>
    <t xml:space="preserve">Cause of counterfeiting:                                                                       .                                                                                                                               </t>
  </si>
  <si>
    <t>Non-secure distribution process</t>
  </si>
  <si>
    <t>Distribution of fake products</t>
  </si>
  <si>
    <t>Distribution of diluted products</t>
  </si>
  <si>
    <t>Distribution of outdated products</t>
  </si>
  <si>
    <t>Total shrinkage (as % of revenues)</t>
  </si>
  <si>
    <t>Counterfeiting due to this cause</t>
  </si>
  <si>
    <t>Price Issues</t>
  </si>
  <si>
    <t>Quality Issues</t>
  </si>
  <si>
    <t>Product quality</t>
  </si>
  <si>
    <t>Reconciliation and Deductions</t>
  </si>
  <si>
    <t>Quoted price being different from billed price</t>
  </si>
  <si>
    <t xml:space="preserve">Cause of reconciliation / deduction:                                                                       .                                                                                                                               </t>
  </si>
  <si>
    <t>Recon / deduction due to this cause</t>
  </si>
  <si>
    <t>Adjustment for double counting</t>
  </si>
  <si>
    <t>Total OOS - Retailer's level (as % of rev. for mfgr's product)</t>
  </si>
  <si>
    <t>Production Planning</t>
  </si>
  <si>
    <t xml:space="preserve">Accuracy of production planning                                                                       .                                                                                                                               </t>
  </si>
  <si>
    <t>Other expenses</t>
  </si>
  <si>
    <t>Annual cost of capital</t>
  </si>
  <si>
    <t>Net benefit</t>
  </si>
  <si>
    <t>Reduction in expenses due to poor production planning</t>
  </si>
  <si>
    <t>Improved capacity utilization</t>
  </si>
  <si>
    <t>Current</t>
  </si>
  <si>
    <t>Manufacturing change-over cost (Cost per change-over * Number of change overs per year)</t>
  </si>
  <si>
    <t>Labor, spend on distribution, reduction in WIP etc</t>
  </si>
  <si>
    <t xml:space="preserve">Total </t>
  </si>
  <si>
    <t>VMI / Direct Store Delivery</t>
  </si>
  <si>
    <t>Average annual employee salary (inventory management)</t>
  </si>
  <si>
    <t xml:space="preserve">VMI/DSD                                                                       .                                                                                                                               </t>
  </si>
  <si>
    <t>Reduction in distribution expenses</t>
  </si>
  <si>
    <t>No. of employees managing inventory levels</t>
  </si>
  <si>
    <t>Promotions Management</t>
  </si>
  <si>
    <t>seconds</t>
  </si>
  <si>
    <t>Total time spend for scanning (seconds per day)</t>
  </si>
  <si>
    <t>Operational Efficiency</t>
  </si>
  <si>
    <t>hours/day</t>
  </si>
  <si>
    <t>% reduction in cost due to automated scanning</t>
  </si>
  <si>
    <t>days</t>
  </si>
  <si>
    <t>Reduction of above fraction due to RFID systems</t>
  </si>
  <si>
    <t>% reduction from total leadtime</t>
  </si>
  <si>
    <t>Average inventory as % of revenues</t>
  </si>
  <si>
    <t>Capital locked in inventory</t>
  </si>
  <si>
    <t>Benefit due to automation</t>
  </si>
  <si>
    <t>Average order leadtime after RFID</t>
  </si>
  <si>
    <t>Additional revenues</t>
  </si>
  <si>
    <t>Number of working (business) days per year</t>
  </si>
  <si>
    <t>Fraction of total order leadtime for locating inventory &amp; picking right products</t>
  </si>
  <si>
    <t>Reduction in order leadtime due to RFID</t>
  </si>
  <si>
    <t>Year 1</t>
  </si>
  <si>
    <t>Year 2</t>
  </si>
  <si>
    <t>Year 3</t>
  </si>
  <si>
    <t>Year 4</t>
  </si>
  <si>
    <t>Year 5</t>
  </si>
  <si>
    <t>Discounted benefit</t>
  </si>
  <si>
    <t>Inventory reduction</t>
  </si>
  <si>
    <t>Track and Trace</t>
  </si>
  <si>
    <t xml:space="preserve">Track and Trace                                                                       .                                                                                                                               </t>
  </si>
  <si>
    <t>Dollars</t>
  </si>
  <si>
    <t>Improvements in Tracking and Tracing</t>
  </si>
  <si>
    <t>RETAILER</t>
  </si>
  <si>
    <t>Current annual revenues</t>
  </si>
  <si>
    <t>Shrinkage (in transit from supplier to manufacturer)</t>
  </si>
  <si>
    <t>Shrinkage (in Production + Transit +  W/H)</t>
  </si>
  <si>
    <t>Theft (retailer DC + Transit + store)</t>
  </si>
  <si>
    <t>Percentage of OOS translated into lost sale for manufacturer</t>
  </si>
  <si>
    <t>In distribution network</t>
  </si>
  <si>
    <t>Products intended for sale in one market are being sold in a different market</t>
  </si>
  <si>
    <t>Process failures</t>
  </si>
  <si>
    <t>Magnitude of diversion as % of total sales</t>
  </si>
  <si>
    <t>% of margin lost due to diversion</t>
  </si>
  <si>
    <t>Profit margin (weighted margin of different countires)</t>
  </si>
  <si>
    <t>RFID provides real-time visibility which enables tracking and tracing of products in the supply chain.</t>
  </si>
  <si>
    <t>Benefit due to reduction in costs</t>
  </si>
  <si>
    <t>Counterfeit products are surprisingly frequent in the supply chain, even in developed countries. Luxury items, pharmaceuticals and other high-cost items are frequently targets of counterfeiters. The consequences of counterfeiting can vary from mere loss to life-threatening situations. EPC enables the detection of counterfeits by three means. First, the very presence of an EPC tag is a hurdle to a counterfeiter. Second, even if the counterfeiter can get his hands on an EPC tag, the EPC numbering scheme enables the detection of "made up" numbers from their abrupt introduction into the supply chain in places where they shouldn't appear. Third, it will be possible in the future to place encryption on EPC tags to completely eliminate counterfeits.</t>
  </si>
  <si>
    <t>Product diversion is an attempt to arbitrage price differences across national boundaries and across sales channels by "short-circuiting" the supply chain. Diversion effectively transfers profit margins from the supplier's books to those of the diverter. This problem is especially significant along US borders with Canada and Mexico, and in the rapidly expanding EU, where differences in living standards or currencies create vast opportunities. Diversion is a problem for a number of products ranging from cosmetics to pharmaceuticals. Diversion can be detected by looking for irregularities in the flow of EPC's.</t>
  </si>
  <si>
    <t>Cause of OOS during promotions at the retailer's level:                                                                                 .</t>
  </si>
  <si>
    <t>Under forecasting</t>
  </si>
  <si>
    <t>Under forecasting of sales during promotion period</t>
  </si>
  <si>
    <t>Late delivery from DC to store during promotion period</t>
  </si>
  <si>
    <t>Slow replenishment by mfgr due to lack of POS visibility</t>
  </si>
  <si>
    <t>% of revenues generated by mfr through promotions</t>
  </si>
  <si>
    <t>OOS during promotions at stores (as % of promotion sales)</t>
  </si>
  <si>
    <t xml:space="preserve">Other benefits                                                                      .                                                                                                                               </t>
  </si>
  <si>
    <t>Improved return on investment in promotions</t>
  </si>
  <si>
    <t xml:space="preserve">% increase in sales during promotins due to better compliance of stores with agreements reached with retail HQ </t>
  </si>
  <si>
    <t>RFID can play a significant role in improving the operational efficiency by reducing redundant operations, cutting labor costs, and eliminating manual scanning operations</t>
  </si>
  <si>
    <t>Track &amp; Trace expenses</t>
  </si>
  <si>
    <t>Defensive Merchandising</t>
  </si>
  <si>
    <t>Current value</t>
  </si>
  <si>
    <t>Expected sales increase with less defensive merchandising</t>
  </si>
  <si>
    <t>Annual expediture for defensive merchandising</t>
  </si>
  <si>
    <t>An underlying assumption of the calculator, is that the supply chain under consideration has the following structure:</t>
  </si>
  <si>
    <t>Companies spend billions of dollars each year on promotions to support discounts, rebates, circulars, coupons, end-of-aisle displays, cash incentives, and subsidized financing. However, in the complex environment of numerous promotional campaigns targeting a range of products and multiple segments and channels, few companies are able to accurately predict the overall effectiveness of their promotional and trade fund spending. Accordingly, it has been said that half of all promotional expenditures are wasted - the problem is that nobody knows which half. Since all the expenses during promotion are related to selling the promoted product, a better visibility into product's flow through RFID helps firms manage their promotion efforts better.</t>
  </si>
  <si>
    <t>Higher and Sub-level Summary</t>
  </si>
  <si>
    <t>Part of the supply chain the calculations relate to (example: manufacturer or retailer)</t>
  </si>
  <si>
    <t>Set to Default buttons</t>
  </si>
  <si>
    <r>
      <t>Shrinkage:</t>
    </r>
    <r>
      <rPr>
        <sz val="10"/>
        <rFont val="Arial"/>
        <family val="0"/>
      </rPr>
      <t xml:space="preserve"> Reduction in shrinkage reduces the possibility of OOS due to shrinkage and thus improves fill-rates and service levels.</t>
    </r>
  </si>
  <si>
    <t>Expected reduction in OOS related to shrinkage: mfgr level:</t>
  </si>
  <si>
    <t>Expected reduction in OOS related to shrinkae: retailer level, regular sales:</t>
  </si>
  <si>
    <t>Expected reduction in OOS related to shrinkae: retailer level, promotion sales:</t>
  </si>
  <si>
    <t>Expected reduction in counterfeiting incidences</t>
  </si>
  <si>
    <t>Expected reduction of diversion incidences</t>
  </si>
  <si>
    <r>
      <t xml:space="preserve">Vendor Managed Inventory: </t>
    </r>
    <r>
      <rPr>
        <sz val="10"/>
        <rFont val="Arial"/>
        <family val="2"/>
      </rPr>
      <t>Better replenishment management reduces the occurrence of stock-outs and obsolescence and improves service levels</t>
    </r>
  </si>
  <si>
    <r>
      <t xml:space="preserve">Operational Efficiency: </t>
    </r>
    <r>
      <rPr>
        <sz val="10"/>
        <rFont val="Arial"/>
        <family val="2"/>
      </rPr>
      <t>Improvement in operational efficiency reduces redundant operations and time it takes to react, thus making the business operations more agile.</t>
    </r>
  </si>
  <si>
    <t>Expected reduction in order lead-time: Manufacturer level</t>
  </si>
  <si>
    <t xml:space="preserve">   Consulting and systems Integration</t>
  </si>
  <si>
    <t>Other expenses associated with OOS at Manufacturer                                                                    .</t>
  </si>
  <si>
    <t>Expected increase in sales due to lower cannibalization by the grey market</t>
  </si>
  <si>
    <t>Increase in sales</t>
  </si>
  <si>
    <t>Annaul expenditures related to counterfeiting</t>
  </si>
  <si>
    <t>Cost of sealing the distribution process</t>
  </si>
  <si>
    <t>Legal liability expenses</t>
  </si>
  <si>
    <t>Instruction regarding the RFID / EPC benefits calculator:</t>
  </si>
  <si>
    <t>Annual inventory holding costs</t>
  </si>
  <si>
    <t>Average annual expedite expenses and over-time costs</t>
  </si>
  <si>
    <t>Annual last-minute spend on buying extra capacity</t>
  </si>
  <si>
    <t>Other expenses (per year)</t>
  </si>
  <si>
    <t>ANNUALLY RECURRING BENEFITS</t>
  </si>
  <si>
    <t>ONE-TIME BENEFITS</t>
  </si>
  <si>
    <t>One-time reduction in average inventory levels</t>
  </si>
  <si>
    <t>Average dollars tied in inventory *</t>
  </si>
  <si>
    <t xml:space="preserve">* Savings due to reduced average inventory levels will take place only once, in the first year of implementation, since it will require companies to invest less </t>
  </si>
  <si>
    <t xml:space="preserve"> in building the required inventoy</t>
  </si>
  <si>
    <t>TOTAL ONE-TIME BENEFITS</t>
  </si>
  <si>
    <t>Additional annual profit due to higher revenues (Margin*Add. Rev)/(1+ Margin)</t>
  </si>
  <si>
    <r>
      <t xml:space="preserve">NOTE:  This sheet considers OOS only during </t>
    </r>
    <r>
      <rPr>
        <b/>
        <sz val="10"/>
        <color indexed="10"/>
        <rFont val="Arial"/>
        <family val="2"/>
      </rPr>
      <t xml:space="preserve">"regular sales" </t>
    </r>
    <r>
      <rPr>
        <b/>
        <sz val="10"/>
        <color indexed="8"/>
        <rFont val="Arial"/>
        <family val="2"/>
      </rPr>
      <t xml:space="preserve">of the product. OOS during promotions is considered in the </t>
    </r>
    <r>
      <rPr>
        <b/>
        <sz val="10"/>
        <color indexed="10"/>
        <rFont val="Arial"/>
        <family val="2"/>
      </rPr>
      <t xml:space="preserve">"promotions </t>
    </r>
  </si>
  <si>
    <t>management" worksheet.</t>
  </si>
  <si>
    <t>Annual cost for expedited shipping (during regular sales)</t>
  </si>
  <si>
    <t>% of Manufacturer's stockouts translated into lost sales</t>
  </si>
  <si>
    <t>Total benefit</t>
  </si>
  <si>
    <t>Annual savings due to improved production layout due to RFID enabled automation</t>
  </si>
  <si>
    <t>Annual savings due to process re-engineering with RFID at the factory / warehouse</t>
  </si>
  <si>
    <t>Average order leadtime (without RFID), in days</t>
  </si>
  <si>
    <t>Annual increased revenues due to increased throughput</t>
  </si>
  <si>
    <t>Annual penalty costs for delayed shipment due to OOS</t>
  </si>
  <si>
    <t>Costs incurred due to OOS</t>
  </si>
  <si>
    <t>SUMMARY: EXPECTED BENEFITS AND COSTS OF RFID / EPC IMPLEMENTATION</t>
  </si>
  <si>
    <t>Annual reduction in legal liability</t>
  </si>
  <si>
    <t>Out of Stock (OOS)</t>
  </si>
  <si>
    <t>Counterfeiting</t>
  </si>
  <si>
    <t>Product Diversion</t>
  </si>
  <si>
    <t>Reconciliation and Deduction</t>
  </si>
  <si>
    <t xml:space="preserve">Please check below the business issues and drivers that apply to your company </t>
  </si>
  <si>
    <t>Annual savings due to reduced costs</t>
  </si>
  <si>
    <t>One time reduction in inventory cost</t>
  </si>
  <si>
    <t>5-year discounted NPV</t>
  </si>
  <si>
    <t>Reduction in Reconciliation and Deduction</t>
  </si>
  <si>
    <t>Please enter below the preliminary information about your company</t>
  </si>
  <si>
    <t>Parameter</t>
  </si>
  <si>
    <t>Issue range</t>
  </si>
  <si>
    <t>Min</t>
  </si>
  <si>
    <t>Max</t>
  </si>
  <si>
    <t>'OOS_Regular Sales'!C11</t>
  </si>
  <si>
    <t>OOS_Regular Sales'!C12</t>
  </si>
  <si>
    <t>OOS_Regular Sales'!C51</t>
  </si>
  <si>
    <t>OOS_Regular Sales'!C52</t>
  </si>
  <si>
    <t>Total OOS at Retailer's level (as % of rev. for mfgr's product)</t>
  </si>
  <si>
    <t>Shrinkage!C9</t>
  </si>
  <si>
    <t>Shrinkage!C28</t>
  </si>
  <si>
    <t>OOS_Regular Sales'!C42</t>
  </si>
  <si>
    <t>OOS_Regular Sales'!C44</t>
  </si>
  <si>
    <t>Diversion!C9</t>
  </si>
  <si>
    <t>Diversion!C10</t>
  </si>
  <si>
    <t>Counterfeit!C8</t>
  </si>
  <si>
    <t>Cell in the worksheet (Value)</t>
  </si>
  <si>
    <t>Reconciliation_Deduction!C8</t>
  </si>
  <si>
    <t>Reconciliation_Deduction!C29</t>
  </si>
  <si>
    <t>Reconciliation_Deduction!31</t>
  </si>
  <si>
    <t>Reconciliation_Deduction!32</t>
  </si>
  <si>
    <t>Obsolescence!C9</t>
  </si>
  <si>
    <t>% reduction with RFID</t>
  </si>
  <si>
    <t>'Production Planning'!C13</t>
  </si>
  <si>
    <t>Production Planning'!C14</t>
  </si>
  <si>
    <t>Production Planning'!C16</t>
  </si>
  <si>
    <t>Production Planning'!C18</t>
  </si>
  <si>
    <t>Production Planning'!C19</t>
  </si>
  <si>
    <t>Operatn_Efficiency!C13</t>
  </si>
  <si>
    <t>Operatn_Efficiency!C22</t>
  </si>
  <si>
    <t>Operatn_Efficiency!C23</t>
  </si>
  <si>
    <t>Operatn_Efficiency!C24</t>
  </si>
  <si>
    <t>Operatn_Efficiency!C35</t>
  </si>
  <si>
    <t>'Promotions Management'!C9</t>
  </si>
  <si>
    <t>Promotions Management'!C10</t>
  </si>
  <si>
    <t>Promotions Management'!C11</t>
  </si>
  <si>
    <t>Sample Company Revenues ($4 Billion)</t>
  </si>
  <si>
    <t>Average dollars tied in inventory</t>
  </si>
  <si>
    <t>Average</t>
  </si>
  <si>
    <t>$</t>
  </si>
  <si>
    <t>Benefit due to leadtime (Time from customer order until customer receives the product)  reduction</t>
  </si>
  <si>
    <t>Incomplete delivery to DC / store + quality issues</t>
  </si>
  <si>
    <t>Max % reduction expected thro' RFID</t>
  </si>
  <si>
    <t>Max. % savings with RFID</t>
  </si>
  <si>
    <t>Max % improve w/RFID</t>
  </si>
  <si>
    <t>% of Max Reduction</t>
  </si>
  <si>
    <t>Level of benefit achievement for given business</t>
  </si>
  <si>
    <t>OOS (Regular Sales) - Retailer level</t>
  </si>
  <si>
    <t>OOS (Regular Sales) - Manufacturer level</t>
  </si>
  <si>
    <t>Obsolescence due to this cause</t>
  </si>
  <si>
    <t xml:space="preserve">Cause of obsolecence:                                                                       .                                                                                                                               </t>
  </si>
  <si>
    <t xml:space="preserve">An out of stock occurs when there is no stock available on the shelf to fulfill customer demand. OOS is a fundamental problem that plagues the supply chain. Preventing or reducing the magnitude of out-of-stocks, and having faster reaction to occurrence of stockouts, is likely to be one of the major positive impacts of RFID on the supply chain. </t>
  </si>
  <si>
    <t>Item vs. Pallet/Case level calculations</t>
  </si>
  <si>
    <t>*</t>
  </si>
  <si>
    <t>Please check these boxes since these business drivers apply to all businesses/companies</t>
  </si>
  <si>
    <r>
      <t>Production Planning</t>
    </r>
    <r>
      <rPr>
        <b/>
        <sz val="16"/>
        <color indexed="9"/>
        <rFont val="Arial"/>
        <family val="2"/>
      </rPr>
      <t>*</t>
    </r>
  </si>
  <si>
    <r>
      <t>Operational Efficiency</t>
    </r>
    <r>
      <rPr>
        <b/>
        <sz val="16"/>
        <color indexed="9"/>
        <rFont val="Arial"/>
        <family val="2"/>
      </rPr>
      <t>*</t>
    </r>
  </si>
  <si>
    <t>VMI / Direct Store Delivery Activities</t>
  </si>
  <si>
    <t>Additional annual revenues due to RFID/EPC</t>
  </si>
  <si>
    <t>Additional annual profits directly through RFID/EPC</t>
  </si>
  <si>
    <t>RFID/EPC related costs</t>
  </si>
  <si>
    <t>Net Benefit using RFID/EPC</t>
  </si>
  <si>
    <t>Impact of RFID/EPC on quality and service</t>
  </si>
  <si>
    <t>Expected related cost reduction due to RFID/EPC in 1st year</t>
  </si>
  <si>
    <t>Maximum % reduction thro' RFID/EPC</t>
  </si>
  <si>
    <t>Expected OOS after RFID/EPC</t>
  </si>
  <si>
    <t>Max % rdctn exptd thro' RFID/EPC</t>
  </si>
  <si>
    <t>Maximum % reduction expected thro' RFID/EPC</t>
  </si>
  <si>
    <t>Max. % reduction expected thro' RFID/EPC</t>
  </si>
  <si>
    <t>Expected Shrinkage after RFID/EPC</t>
  </si>
  <si>
    <t>Max % improvement  throu' RFID/EPC</t>
  </si>
  <si>
    <t>Expected diversion after RFID/EPC</t>
  </si>
  <si>
    <t>Expected counterfeiting after RFID/EPC</t>
  </si>
  <si>
    <t>% improve throu' RFID/EPC</t>
  </si>
  <si>
    <t>Expected recon / deduction after RFID/EPC</t>
  </si>
  <si>
    <t>Max. % improve throu' RFID/EPC</t>
  </si>
  <si>
    <t>Max % reduction expected thro' RFID/EPC</t>
  </si>
  <si>
    <t>Expected Obsolescence after RFID/EPC</t>
  </si>
  <si>
    <t>Obsolescence occurs due to various reaons, such as poor production planning; unexpected low demand realization; poor inventory management - which doesn't ensure that older products are sold first; customer returns; etc. RFID/EPC can reduce product obsolescence by giving more visibility into such information as actual sales level; product location; and product expiration date.</t>
  </si>
  <si>
    <t xml:space="preserve">Production planning is based on such pieces of information as future demand forecasts, supply availability, current inventory levels, and previous backlog. Accuracy of production plan depends on accuracy of all these inputs. RFID/EPC will enable better production planning by providing accurate picture of actual inventory levels along the supply chain. In addition, RFID/EPC can reduce the bullwhip effect by providing manufacturers with timely and accurate information on actual sales level at the retail store.  </t>
  </si>
  <si>
    <t>TOTAL COST</t>
  </si>
  <si>
    <t>FIxed cost of RFID/EPC for manufacturer's production facilities</t>
  </si>
  <si>
    <t>Variable cost per production facility:</t>
  </si>
  <si>
    <t>Total variable cost of RFID/EPC for manufacturer's production facilities</t>
  </si>
  <si>
    <t>Total Fixed cost of RFID for manufacturer's warehouses</t>
  </si>
  <si>
    <t>Total Variable cost of RFID/EPC for manufacturer's warehouses</t>
  </si>
  <si>
    <t>Per facility annual variable cost of RFID/EPC</t>
  </si>
  <si>
    <t>Year 5 (100% implementation) benefits:</t>
  </si>
  <si>
    <t>Total Number of Production Facilities (Factories)</t>
  </si>
  <si>
    <t>Percentage of factories with RFID/EPC</t>
  </si>
  <si>
    <t>Percentage of warehouses with RFID/EPC</t>
  </si>
  <si>
    <t>Total Number of Warehouses</t>
  </si>
  <si>
    <t>Percentage of Business using RFID/EPC</t>
  </si>
  <si>
    <t>Average order leadtime (time from order placement to receiving) without RFID</t>
  </si>
  <si>
    <t>Extrapolated Revenues end of year 5</t>
  </si>
  <si>
    <t>Extrapolated year 5 revenues (100% RFID/EPC)</t>
  </si>
  <si>
    <t>TOTAL YEAR 5 BENEFITS</t>
  </si>
  <si>
    <t>% of 5-yr revenues generated through regular sales (non-promo)</t>
  </si>
  <si>
    <t>Total OOS at the Manufacturer's level (as % of yr 5 revenues)</t>
  </si>
  <si>
    <t>Factories</t>
  </si>
  <si>
    <t>% of total inventory dedicated as safety stock</t>
  </si>
  <si>
    <t>% reduction in safety stock due to reduction in leadtime</t>
  </si>
  <si>
    <t>Savings due to safety stock reduction (annual holding cost)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</si>
</sst>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
    <numFmt numFmtId="173" formatCode="&quot;$&quot;#,##0.00"/>
    <numFmt numFmtId="174" formatCode="0.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0.0%"/>
  </numFmts>
  <fonts count="26">
    <font>
      <sz val="10"/>
      <name val="Arial"/>
      <family val="0"/>
    </font>
    <font>
      <b/>
      <sz val="10"/>
      <name val="Arial"/>
      <family val="2"/>
    </font>
    <font>
      <b/>
      <u val="single"/>
      <sz val="10"/>
      <name val="Arial"/>
      <family val="2"/>
    </font>
    <font>
      <b/>
      <sz val="10"/>
      <color indexed="9"/>
      <name val="Arial"/>
      <family val="2"/>
    </font>
    <font>
      <sz val="10"/>
      <color indexed="10"/>
      <name val="Arial"/>
      <family val="2"/>
    </font>
    <font>
      <i/>
      <sz val="10"/>
      <name val="Arial"/>
      <family val="2"/>
    </font>
    <font>
      <sz val="10"/>
      <color indexed="48"/>
      <name val="Arial"/>
      <family val="2"/>
    </font>
    <font>
      <b/>
      <sz val="10"/>
      <color indexed="10"/>
      <name val="Arial"/>
      <family val="2"/>
    </font>
    <font>
      <b/>
      <sz val="10"/>
      <color indexed="8"/>
      <name val="Arial"/>
      <family val="2"/>
    </font>
    <font>
      <b/>
      <sz val="10"/>
      <color indexed="12"/>
      <name val="Arial"/>
      <family val="2"/>
    </font>
    <font>
      <sz val="8"/>
      <name val="Tahoma"/>
      <family val="2"/>
    </font>
    <font>
      <sz val="10"/>
      <color indexed="9"/>
      <name val="Arial"/>
      <family val="0"/>
    </font>
    <font>
      <sz val="12"/>
      <color indexed="9"/>
      <name val="Arial"/>
      <family val="2"/>
    </font>
    <font>
      <sz val="12"/>
      <name val="Arial"/>
      <family val="2"/>
    </font>
    <font>
      <b/>
      <u val="single"/>
      <sz val="10"/>
      <color indexed="12"/>
      <name val="Arial"/>
      <family val="2"/>
    </font>
    <font>
      <b/>
      <sz val="12"/>
      <color indexed="12"/>
      <name val="Arial"/>
      <family val="2"/>
    </font>
    <font>
      <sz val="8"/>
      <name val="Arial"/>
      <family val="0"/>
    </font>
    <font>
      <u val="single"/>
      <sz val="10"/>
      <color indexed="12"/>
      <name val="Arial"/>
      <family val="0"/>
    </font>
    <font>
      <u val="single"/>
      <sz val="10"/>
      <color indexed="36"/>
      <name val="Arial"/>
      <family val="0"/>
    </font>
    <font>
      <b/>
      <sz val="11"/>
      <name val="Arial"/>
      <family val="0"/>
    </font>
    <font>
      <b/>
      <sz val="9.25"/>
      <name val="Arial"/>
      <family val="0"/>
    </font>
    <font>
      <sz val="9.25"/>
      <name val="Arial"/>
      <family val="0"/>
    </font>
    <font>
      <b/>
      <sz val="16"/>
      <name val="Arial"/>
      <family val="2"/>
    </font>
    <font>
      <b/>
      <sz val="12"/>
      <name val="Arial"/>
      <family val="2"/>
    </font>
    <font>
      <b/>
      <sz val="12"/>
      <color indexed="9"/>
      <name val="Arial"/>
      <family val="2"/>
    </font>
    <font>
      <b/>
      <sz val="16"/>
      <color indexed="9"/>
      <name val="Arial"/>
      <family val="2"/>
    </font>
  </fonts>
  <fills count="12">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16"/>
        <bgColor indexed="64"/>
      </patternFill>
    </fill>
    <fill>
      <patternFill patternType="solid">
        <fgColor indexed="51"/>
        <bgColor indexed="64"/>
      </patternFill>
    </fill>
    <fill>
      <patternFill patternType="solid">
        <fgColor indexed="22"/>
        <bgColor indexed="64"/>
      </patternFill>
    </fill>
    <fill>
      <patternFill patternType="solid">
        <fgColor indexed="48"/>
        <bgColor indexed="64"/>
      </patternFill>
    </fill>
    <fill>
      <patternFill patternType="solid">
        <fgColor indexed="46"/>
        <bgColor indexed="64"/>
      </patternFill>
    </fill>
    <fill>
      <patternFill patternType="solid">
        <fgColor indexed="10"/>
        <bgColor indexed="64"/>
      </patternFill>
    </fill>
  </fills>
  <borders count="3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style="medium"/>
      <right style="thin"/>
      <top>
        <color indexed="63"/>
      </top>
      <bottom style="medium"/>
    </border>
    <border>
      <left>
        <color indexed="63"/>
      </left>
      <right>
        <color indexed="63"/>
      </right>
      <top style="thin"/>
      <bottom style="medium"/>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391">
    <xf numFmtId="0" fontId="0" fillId="0" borderId="0" xfId="0" applyAlignment="1">
      <alignment/>
    </xf>
    <xf numFmtId="6" fontId="0" fillId="0" borderId="0" xfId="0" applyNumberFormat="1" applyAlignment="1">
      <alignment/>
    </xf>
    <xf numFmtId="0" fontId="0" fillId="0" borderId="0" xfId="0" applyAlignment="1">
      <alignment horizontal="right"/>
    </xf>
    <xf numFmtId="9" fontId="0" fillId="0" borderId="0" xfId="0" applyNumberFormat="1" applyAlignment="1">
      <alignment/>
    </xf>
    <xf numFmtId="172" fontId="0" fillId="0" borderId="0" xfId="0" applyNumberFormat="1" applyAlignment="1">
      <alignment/>
    </xf>
    <xf numFmtId="0" fontId="0" fillId="2" borderId="0" xfId="0" applyFill="1" applyAlignment="1">
      <alignment/>
    </xf>
    <xf numFmtId="6" fontId="0" fillId="2" borderId="0" xfId="0" applyNumberFormat="1" applyFill="1" applyAlignment="1">
      <alignment/>
    </xf>
    <xf numFmtId="172" fontId="0" fillId="2" borderId="0" xfId="0" applyNumberFormat="1" applyFill="1" applyAlignment="1">
      <alignment/>
    </xf>
    <xf numFmtId="9" fontId="0" fillId="2" borderId="0" xfId="0" applyNumberFormat="1" applyFill="1" applyAlignment="1">
      <alignment/>
    </xf>
    <xf numFmtId="3" fontId="0" fillId="2" borderId="0" xfId="0" applyNumberFormat="1" applyFill="1" applyAlignment="1">
      <alignment/>
    </xf>
    <xf numFmtId="0" fontId="2" fillId="2" borderId="0" xfId="0" applyFont="1" applyFill="1" applyAlignment="1">
      <alignment/>
    </xf>
    <xf numFmtId="0" fontId="1" fillId="3" borderId="0" xfId="0" applyFont="1" applyFill="1" applyAlignment="1">
      <alignment/>
    </xf>
    <xf numFmtId="0" fontId="1" fillId="0" borderId="0" xfId="0" applyFont="1" applyFill="1" applyAlignment="1">
      <alignment/>
    </xf>
    <xf numFmtId="0" fontId="3" fillId="4" borderId="0" xfId="0" applyFont="1" applyFill="1" applyAlignment="1">
      <alignment/>
    </xf>
    <xf numFmtId="0" fontId="0" fillId="0" borderId="1" xfId="0" applyBorder="1" applyAlignment="1">
      <alignment/>
    </xf>
    <xf numFmtId="0" fontId="0" fillId="0" borderId="2" xfId="0" applyBorder="1" applyAlignment="1">
      <alignment/>
    </xf>
    <xf numFmtId="9" fontId="0" fillId="0" borderId="2" xfId="0" applyNumberFormat="1"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10" fontId="0" fillId="0" borderId="0" xfId="0" applyNumberFormat="1" applyAlignment="1">
      <alignment/>
    </xf>
    <xf numFmtId="10" fontId="0" fillId="0" borderId="2" xfId="0" applyNumberFormat="1" applyBorder="1" applyAlignment="1">
      <alignment/>
    </xf>
    <xf numFmtId="0" fontId="0" fillId="0" borderId="6" xfId="0" applyBorder="1" applyAlignment="1">
      <alignment/>
    </xf>
    <xf numFmtId="10" fontId="0" fillId="0" borderId="7" xfId="0" applyNumberFormat="1" applyBorder="1" applyAlignment="1">
      <alignment/>
    </xf>
    <xf numFmtId="9" fontId="0" fillId="0" borderId="1" xfId="0" applyNumberFormat="1" applyBorder="1" applyAlignment="1" applyProtection="1">
      <alignment/>
      <protection/>
    </xf>
    <xf numFmtId="9" fontId="0" fillId="0" borderId="1" xfId="0" applyNumberFormat="1" applyBorder="1" applyAlignment="1">
      <alignment/>
    </xf>
    <xf numFmtId="0" fontId="0" fillId="0" borderId="1" xfId="0" applyBorder="1" applyAlignment="1">
      <alignment horizontal="right"/>
    </xf>
    <xf numFmtId="172" fontId="0" fillId="0" borderId="8" xfId="0" applyNumberFormat="1" applyBorder="1" applyAlignment="1">
      <alignment/>
    </xf>
    <xf numFmtId="0" fontId="0" fillId="5" borderId="4" xfId="0" applyFill="1" applyBorder="1" applyAlignment="1">
      <alignment/>
    </xf>
    <xf numFmtId="0" fontId="0" fillId="0" borderId="9" xfId="0" applyBorder="1" applyAlignment="1">
      <alignment/>
    </xf>
    <xf numFmtId="172" fontId="0" fillId="0" borderId="2" xfId="0" applyNumberFormat="1" applyBorder="1" applyAlignment="1">
      <alignment/>
    </xf>
    <xf numFmtId="6" fontId="0" fillId="0" borderId="2" xfId="0" applyNumberFormat="1" applyBorder="1" applyAlignment="1">
      <alignment/>
    </xf>
    <xf numFmtId="10" fontId="0" fillId="0" borderId="2" xfId="0" applyNumberFormat="1" applyFill="1" applyBorder="1" applyAlignment="1">
      <alignment/>
    </xf>
    <xf numFmtId="172" fontId="0" fillId="0" borderId="10" xfId="0" applyNumberFormat="1" applyBorder="1" applyAlignment="1">
      <alignment/>
    </xf>
    <xf numFmtId="172" fontId="0" fillId="0" borderId="11" xfId="0" applyNumberFormat="1" applyBorder="1" applyAlignment="1">
      <alignment/>
    </xf>
    <xf numFmtId="0" fontId="3" fillId="6" borderId="3" xfId="0" applyFont="1" applyFill="1" applyBorder="1" applyAlignment="1">
      <alignment horizontal="right"/>
    </xf>
    <xf numFmtId="9" fontId="3" fillId="6" borderId="6" xfId="0" applyNumberFormat="1" applyFont="1" applyFill="1" applyBorder="1" applyAlignment="1">
      <alignment/>
    </xf>
    <xf numFmtId="10" fontId="3" fillId="6" borderId="3" xfId="0" applyNumberFormat="1" applyFont="1" applyFill="1" applyBorder="1" applyAlignment="1">
      <alignment/>
    </xf>
    <xf numFmtId="172" fontId="3" fillId="6" borderId="11" xfId="0" applyNumberFormat="1" applyFont="1" applyFill="1" applyBorder="1" applyAlignment="1">
      <alignment/>
    </xf>
    <xf numFmtId="9" fontId="0" fillId="0" borderId="1" xfId="0" applyNumberFormat="1" applyFill="1" applyBorder="1" applyAlignment="1">
      <alignment/>
    </xf>
    <xf numFmtId="0" fontId="0" fillId="0" borderId="0" xfId="0" applyFill="1" applyAlignment="1">
      <alignment/>
    </xf>
    <xf numFmtId="9" fontId="3" fillId="0" borderId="12" xfId="0" applyNumberFormat="1" applyFont="1" applyFill="1" applyBorder="1" applyAlignment="1">
      <alignment/>
    </xf>
    <xf numFmtId="0" fontId="1" fillId="0" borderId="13" xfId="0" applyFont="1" applyBorder="1" applyAlignment="1">
      <alignment wrapText="1"/>
    </xf>
    <xf numFmtId="10" fontId="0" fillId="0" borderId="0" xfId="0" applyNumberFormat="1" applyFill="1" applyBorder="1" applyAlignment="1">
      <alignment/>
    </xf>
    <xf numFmtId="10" fontId="0" fillId="0" borderId="7" xfId="0" applyNumberFormat="1" applyFill="1" applyBorder="1" applyAlignment="1">
      <alignment/>
    </xf>
    <xf numFmtId="0" fontId="1" fillId="0" borderId="14" xfId="0" applyFont="1" applyFill="1" applyBorder="1" applyAlignment="1">
      <alignment horizontal="center" wrapText="1"/>
    </xf>
    <xf numFmtId="0" fontId="1" fillId="0" borderId="15" xfId="0" applyFont="1" applyBorder="1" applyAlignment="1">
      <alignment wrapText="1"/>
    </xf>
    <xf numFmtId="0" fontId="1" fillId="0" borderId="4" xfId="0" applyFont="1" applyBorder="1" applyAlignment="1">
      <alignment wrapText="1"/>
    </xf>
    <xf numFmtId="172" fontId="0" fillId="7" borderId="10" xfId="0" applyNumberFormat="1" applyFill="1" applyBorder="1" applyAlignment="1">
      <alignment/>
    </xf>
    <xf numFmtId="0" fontId="0" fillId="0" borderId="1" xfId="0" applyFont="1" applyBorder="1" applyAlignment="1">
      <alignment horizontal="right"/>
    </xf>
    <xf numFmtId="10" fontId="0" fillId="0" borderId="1" xfId="0" applyNumberFormat="1" applyBorder="1" applyAlignment="1">
      <alignment/>
    </xf>
    <xf numFmtId="172" fontId="0" fillId="7" borderId="2" xfId="0" applyNumberFormat="1" applyFill="1" applyBorder="1" applyAlignment="1">
      <alignment/>
    </xf>
    <xf numFmtId="0" fontId="4" fillId="2" borderId="0" xfId="0" applyFont="1" applyFill="1" applyAlignment="1">
      <alignment/>
    </xf>
    <xf numFmtId="0" fontId="0" fillId="7" borderId="0" xfId="0" applyFill="1" applyAlignment="1">
      <alignment/>
    </xf>
    <xf numFmtId="6" fontId="0" fillId="7" borderId="0" xfId="0" applyNumberFormat="1" applyFill="1" applyAlignment="1">
      <alignment/>
    </xf>
    <xf numFmtId="0" fontId="1" fillId="7" borderId="9" xfId="0" applyFont="1" applyFill="1" applyBorder="1" applyAlignment="1">
      <alignment horizontal="center"/>
    </xf>
    <xf numFmtId="0" fontId="1" fillId="7" borderId="5" xfId="0" applyFont="1" applyFill="1" applyBorder="1" applyAlignment="1">
      <alignment horizontal="center"/>
    </xf>
    <xf numFmtId="0" fontId="0" fillId="0" borderId="14" xfId="0" applyBorder="1" applyAlignment="1">
      <alignment/>
    </xf>
    <xf numFmtId="172" fontId="0" fillId="0" borderId="0" xfId="0" applyNumberFormat="1" applyBorder="1" applyAlignment="1">
      <alignment/>
    </xf>
    <xf numFmtId="0" fontId="0" fillId="0" borderId="0" xfId="0" applyBorder="1" applyAlignment="1">
      <alignment/>
    </xf>
    <xf numFmtId="6" fontId="0" fillId="7" borderId="2" xfId="0" applyNumberFormat="1" applyFill="1" applyBorder="1" applyAlignment="1">
      <alignment/>
    </xf>
    <xf numFmtId="0" fontId="0" fillId="0" borderId="1" xfId="0" applyFill="1" applyBorder="1" applyAlignment="1">
      <alignment/>
    </xf>
    <xf numFmtId="6" fontId="0" fillId="0" borderId="2" xfId="0" applyNumberFormat="1" applyFill="1" applyBorder="1" applyAlignment="1">
      <alignment/>
    </xf>
    <xf numFmtId="0" fontId="0" fillId="0" borderId="10" xfId="0" applyBorder="1" applyAlignment="1">
      <alignment/>
    </xf>
    <xf numFmtId="0" fontId="0" fillId="7" borderId="10" xfId="0" applyFill="1" applyBorder="1" applyAlignment="1">
      <alignment/>
    </xf>
    <xf numFmtId="0" fontId="0" fillId="0" borderId="10" xfId="0" applyFill="1" applyBorder="1" applyAlignment="1">
      <alignment/>
    </xf>
    <xf numFmtId="0" fontId="0" fillId="7" borderId="11" xfId="0" applyFill="1" applyBorder="1" applyAlignment="1">
      <alignment/>
    </xf>
    <xf numFmtId="0" fontId="0" fillId="0" borderId="1" xfId="0" applyBorder="1" applyAlignment="1">
      <alignment horizontal="right" wrapText="1"/>
    </xf>
    <xf numFmtId="172" fontId="0" fillId="0" borderId="10" xfId="0" applyNumberFormat="1" applyFill="1" applyBorder="1" applyAlignment="1">
      <alignment/>
    </xf>
    <xf numFmtId="172" fontId="3" fillId="6" borderId="6" xfId="0" applyNumberFormat="1" applyFont="1" applyFill="1" applyBorder="1" applyAlignment="1">
      <alignment/>
    </xf>
    <xf numFmtId="0" fontId="0" fillId="0" borderId="1" xfId="0" applyFill="1" applyBorder="1" applyAlignment="1">
      <alignment horizontal="right"/>
    </xf>
    <xf numFmtId="9" fontId="0" fillId="0" borderId="2" xfId="0" applyNumberFormat="1" applyFill="1" applyBorder="1" applyAlignment="1">
      <alignment/>
    </xf>
    <xf numFmtId="0" fontId="1" fillId="0" borderId="0" xfId="0" applyFont="1" applyAlignment="1">
      <alignment/>
    </xf>
    <xf numFmtId="10" fontId="1" fillId="0" borderId="13" xfId="0" applyNumberFormat="1" applyFont="1" applyBorder="1" applyAlignment="1">
      <alignment horizontal="center" wrapText="1"/>
    </xf>
    <xf numFmtId="0" fontId="1" fillId="0" borderId="13" xfId="0" applyFont="1" applyBorder="1" applyAlignment="1">
      <alignment horizontal="center" wrapText="1"/>
    </xf>
    <xf numFmtId="10" fontId="1" fillId="0" borderId="0" xfId="0" applyNumberFormat="1" applyFont="1" applyFill="1" applyBorder="1" applyAlignment="1">
      <alignment/>
    </xf>
    <xf numFmtId="0" fontId="0" fillId="0" borderId="10" xfId="0" applyBorder="1" applyAlignment="1">
      <alignment horizontal="right" wrapText="1"/>
    </xf>
    <xf numFmtId="10" fontId="0" fillId="0" borderId="0" xfId="0" applyNumberFormat="1" applyFill="1" applyAlignment="1">
      <alignment/>
    </xf>
    <xf numFmtId="172" fontId="0" fillId="0" borderId="2" xfId="0" applyNumberFormat="1" applyFill="1" applyBorder="1" applyAlignment="1">
      <alignment/>
    </xf>
    <xf numFmtId="0" fontId="1" fillId="0" borderId="13" xfId="0" applyFont="1" applyFill="1" applyBorder="1" applyAlignment="1">
      <alignment horizontal="center" wrapText="1"/>
    </xf>
    <xf numFmtId="10" fontId="0" fillId="0" borderId="6" xfId="0" applyNumberFormat="1" applyFill="1" applyBorder="1" applyAlignment="1">
      <alignment/>
    </xf>
    <xf numFmtId="9" fontId="1" fillId="0" borderId="13" xfId="0" applyNumberFormat="1" applyFont="1" applyBorder="1" applyAlignment="1">
      <alignment horizontal="center"/>
    </xf>
    <xf numFmtId="0" fontId="0" fillId="0" borderId="2" xfId="0" applyFill="1" applyBorder="1" applyAlignment="1">
      <alignment/>
    </xf>
    <xf numFmtId="0" fontId="0" fillId="0" borderId="6" xfId="0" applyFill="1" applyBorder="1" applyAlignment="1">
      <alignment/>
    </xf>
    <xf numFmtId="0" fontId="1" fillId="0" borderId="5" xfId="0" applyFont="1" applyBorder="1" applyAlignment="1">
      <alignment wrapText="1"/>
    </xf>
    <xf numFmtId="0" fontId="0" fillId="0" borderId="10" xfId="0" applyBorder="1" applyAlignment="1">
      <alignment horizontal="right"/>
    </xf>
    <xf numFmtId="0" fontId="0" fillId="0" borderId="10" xfId="0" applyFill="1" applyBorder="1" applyAlignment="1">
      <alignment horizontal="right"/>
    </xf>
    <xf numFmtId="172" fontId="0" fillId="0" borderId="6" xfId="0" applyNumberFormat="1" applyBorder="1" applyAlignment="1">
      <alignment/>
    </xf>
    <xf numFmtId="0" fontId="0" fillId="0" borderId="0" xfId="0" applyFill="1" applyBorder="1" applyAlignment="1">
      <alignment/>
    </xf>
    <xf numFmtId="172" fontId="1" fillId="0" borderId="0" xfId="0" applyNumberFormat="1" applyFont="1" applyFill="1" applyBorder="1" applyAlignment="1">
      <alignment/>
    </xf>
    <xf numFmtId="2" fontId="0" fillId="0" borderId="0" xfId="0" applyNumberFormat="1" applyAlignment="1">
      <alignment/>
    </xf>
    <xf numFmtId="172" fontId="0" fillId="0" borderId="0" xfId="0" applyNumberFormat="1" applyFont="1" applyFill="1" applyBorder="1" applyAlignment="1">
      <alignment/>
    </xf>
    <xf numFmtId="1" fontId="0" fillId="0" borderId="0" xfId="0" applyNumberFormat="1" applyAlignment="1">
      <alignment/>
    </xf>
    <xf numFmtId="0" fontId="5" fillId="0" borderId="0" xfId="0" applyFont="1" applyAlignment="1">
      <alignment/>
    </xf>
    <xf numFmtId="0" fontId="5" fillId="0" borderId="0" xfId="0" applyFont="1" applyFill="1" applyAlignment="1">
      <alignment/>
    </xf>
    <xf numFmtId="10" fontId="5" fillId="0" borderId="0" xfId="0" applyNumberFormat="1"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10" fontId="0" fillId="0" borderId="0" xfId="0" applyNumberFormat="1" applyFont="1" applyAlignment="1">
      <alignment/>
    </xf>
    <xf numFmtId="10" fontId="0" fillId="0" borderId="0" xfId="0" applyNumberFormat="1" applyFont="1" applyFill="1" applyBorder="1" applyAlignment="1">
      <alignment/>
    </xf>
    <xf numFmtId="172" fontId="1" fillId="0" borderId="9" xfId="0" applyNumberFormat="1" applyFont="1" applyFill="1" applyBorder="1" applyAlignment="1">
      <alignment/>
    </xf>
    <xf numFmtId="172" fontId="0" fillId="0" borderId="2" xfId="0" applyNumberFormat="1" applyFont="1" applyFill="1" applyBorder="1" applyAlignment="1">
      <alignment/>
    </xf>
    <xf numFmtId="10" fontId="0" fillId="0" borderId="2" xfId="0" applyNumberFormat="1" applyFont="1" applyFill="1" applyBorder="1" applyAlignment="1">
      <alignment/>
    </xf>
    <xf numFmtId="3" fontId="0" fillId="0" borderId="2" xfId="0" applyNumberFormat="1" applyFont="1" applyFill="1" applyBorder="1" applyAlignment="1">
      <alignment/>
    </xf>
    <xf numFmtId="172" fontId="0" fillId="0" borderId="9" xfId="0" applyNumberFormat="1" applyFont="1" applyFill="1" applyBorder="1" applyAlignment="1">
      <alignment/>
    </xf>
    <xf numFmtId="2" fontId="0" fillId="0" borderId="2" xfId="0" applyNumberFormat="1" applyBorder="1" applyAlignment="1">
      <alignment/>
    </xf>
    <xf numFmtId="0" fontId="1" fillId="0" borderId="5" xfId="0" applyFont="1" applyFill="1" applyBorder="1" applyAlignment="1">
      <alignment/>
    </xf>
    <xf numFmtId="0" fontId="0" fillId="0" borderId="11" xfId="0" applyFill="1" applyBorder="1" applyAlignment="1">
      <alignment/>
    </xf>
    <xf numFmtId="0" fontId="0" fillId="0" borderId="11" xfId="0" applyBorder="1" applyAlignment="1">
      <alignment/>
    </xf>
    <xf numFmtId="173" fontId="1" fillId="7" borderId="2" xfId="0" applyNumberFormat="1" applyFont="1" applyFill="1" applyBorder="1" applyAlignment="1">
      <alignment/>
    </xf>
    <xf numFmtId="173" fontId="1" fillId="7" borderId="6" xfId="0" applyNumberFormat="1" applyFont="1" applyFill="1" applyBorder="1" applyAlignment="1">
      <alignment/>
    </xf>
    <xf numFmtId="172" fontId="1" fillId="7" borderId="6" xfId="0" applyNumberFormat="1" applyFont="1" applyFill="1" applyBorder="1" applyAlignment="1">
      <alignment/>
    </xf>
    <xf numFmtId="172" fontId="0" fillId="0" borderId="6" xfId="0" applyNumberFormat="1" applyFont="1" applyFill="1" applyBorder="1" applyAlignment="1">
      <alignment/>
    </xf>
    <xf numFmtId="0" fontId="0" fillId="0" borderId="5" xfId="0" applyFont="1" applyFill="1" applyBorder="1" applyAlignment="1">
      <alignment/>
    </xf>
    <xf numFmtId="0" fontId="0" fillId="0" borderId="11" xfId="0" applyFont="1" applyFill="1" applyBorder="1" applyAlignment="1">
      <alignment/>
    </xf>
    <xf numFmtId="0" fontId="3" fillId="6" borderId="0" xfId="0" applyFont="1" applyFill="1" applyBorder="1" applyAlignment="1">
      <alignment/>
    </xf>
    <xf numFmtId="172" fontId="3" fillId="6" borderId="0" xfId="0" applyNumberFormat="1" applyFont="1" applyFill="1" applyAlignment="1">
      <alignment/>
    </xf>
    <xf numFmtId="0" fontId="0" fillId="0" borderId="15" xfId="0" applyBorder="1" applyAlignment="1">
      <alignment/>
    </xf>
    <xf numFmtId="0" fontId="0" fillId="0" borderId="13" xfId="0" applyBorder="1" applyAlignment="1">
      <alignment/>
    </xf>
    <xf numFmtId="0" fontId="6" fillId="2" borderId="0" xfId="0" applyFont="1" applyFill="1" applyAlignment="1">
      <alignment/>
    </xf>
    <xf numFmtId="180" fontId="0" fillId="0" borderId="2" xfId="0" applyNumberFormat="1" applyBorder="1" applyAlignment="1">
      <alignment/>
    </xf>
    <xf numFmtId="180" fontId="0" fillId="0" borderId="10" xfId="0" applyNumberFormat="1" applyBorder="1" applyAlignment="1">
      <alignment/>
    </xf>
    <xf numFmtId="0" fontId="1" fillId="0" borderId="6" xfId="0" applyFont="1" applyBorder="1" applyAlignment="1">
      <alignment/>
    </xf>
    <xf numFmtId="172" fontId="0" fillId="0" borderId="9" xfId="0" applyNumberFormat="1" applyBorder="1" applyAlignment="1">
      <alignment/>
    </xf>
    <xf numFmtId="0" fontId="0" fillId="0" borderId="16" xfId="0" applyBorder="1" applyAlignment="1">
      <alignment/>
    </xf>
    <xf numFmtId="0" fontId="0" fillId="0" borderId="17" xfId="0" applyBorder="1" applyAlignment="1">
      <alignment/>
    </xf>
    <xf numFmtId="10" fontId="0" fillId="0" borderId="0" xfId="0" applyNumberFormat="1" applyBorder="1" applyAlignment="1">
      <alignment/>
    </xf>
    <xf numFmtId="0" fontId="0" fillId="0" borderId="3" xfId="0" applyFill="1" applyBorder="1" applyAlignment="1">
      <alignment/>
    </xf>
    <xf numFmtId="6" fontId="3" fillId="6" borderId="6" xfId="0" applyNumberFormat="1" applyFont="1" applyFill="1" applyBorder="1" applyAlignment="1">
      <alignment/>
    </xf>
    <xf numFmtId="172" fontId="0" fillId="7" borderId="10" xfId="0" applyNumberFormat="1" applyFill="1" applyBorder="1" applyAlignment="1">
      <alignment horizontal="right"/>
    </xf>
    <xf numFmtId="172" fontId="0" fillId="0" borderId="10" xfId="0" applyNumberFormat="1" applyBorder="1" applyAlignment="1">
      <alignment horizontal="right"/>
    </xf>
    <xf numFmtId="172" fontId="0" fillId="7" borderId="2" xfId="0" applyNumberFormat="1" applyFill="1" applyBorder="1" applyAlignment="1">
      <alignment horizontal="right"/>
    </xf>
    <xf numFmtId="172" fontId="0" fillId="0" borderId="2" xfId="0" applyNumberFormat="1" applyBorder="1" applyAlignment="1">
      <alignment horizontal="right"/>
    </xf>
    <xf numFmtId="6" fontId="0" fillId="7" borderId="2" xfId="0" applyNumberFormat="1" applyFill="1" applyBorder="1" applyAlignment="1">
      <alignment horizontal="right"/>
    </xf>
    <xf numFmtId="6" fontId="0" fillId="0" borderId="2" xfId="0" applyNumberFormat="1" applyBorder="1" applyAlignment="1">
      <alignment horizontal="right"/>
    </xf>
    <xf numFmtId="172" fontId="3" fillId="6" borderId="11" xfId="0" applyNumberFormat="1" applyFont="1" applyFill="1" applyBorder="1" applyAlignment="1">
      <alignment horizontal="right"/>
    </xf>
    <xf numFmtId="0" fontId="0" fillId="2" borderId="0" xfId="0" applyFont="1" applyFill="1" applyAlignment="1">
      <alignment/>
    </xf>
    <xf numFmtId="10" fontId="0" fillId="0" borderId="0" xfId="0" applyNumberFormat="1" applyFont="1" applyFill="1" applyAlignment="1">
      <alignment/>
    </xf>
    <xf numFmtId="10" fontId="3" fillId="6" borderId="11" xfId="0" applyNumberFormat="1" applyFont="1" applyFill="1" applyBorder="1" applyAlignment="1">
      <alignment/>
    </xf>
    <xf numFmtId="172" fontId="0" fillId="2" borderId="0" xfId="0" applyNumberFormat="1" applyFont="1" applyFill="1" applyAlignment="1">
      <alignment/>
    </xf>
    <xf numFmtId="0" fontId="1" fillId="7" borderId="0" xfId="0" applyFont="1" applyFill="1" applyAlignment="1">
      <alignment/>
    </xf>
    <xf numFmtId="0" fontId="0" fillId="7" borderId="1" xfId="0" applyFill="1" applyBorder="1" applyAlignment="1">
      <alignment/>
    </xf>
    <xf numFmtId="0" fontId="0" fillId="7" borderId="1" xfId="0" applyFill="1" applyBorder="1" applyAlignment="1">
      <alignment horizontal="left"/>
    </xf>
    <xf numFmtId="9" fontId="0" fillId="7" borderId="1" xfId="0" applyNumberFormat="1" applyFill="1" applyBorder="1" applyAlignment="1">
      <alignment/>
    </xf>
    <xf numFmtId="0" fontId="0" fillId="7" borderId="10" xfId="0" applyFill="1" applyBorder="1" applyAlignment="1">
      <alignment horizontal="left"/>
    </xf>
    <xf numFmtId="0" fontId="3" fillId="6" borderId="11" xfId="0" applyFont="1" applyFill="1" applyBorder="1" applyAlignment="1">
      <alignment horizontal="right"/>
    </xf>
    <xf numFmtId="0" fontId="1" fillId="0" borderId="15" xfId="0" applyFont="1" applyBorder="1" applyAlignment="1">
      <alignment horizontal="center" wrapText="1"/>
    </xf>
    <xf numFmtId="6" fontId="0" fillId="0" borderId="10" xfId="0" applyNumberFormat="1" applyBorder="1" applyAlignment="1">
      <alignment/>
    </xf>
    <xf numFmtId="10" fontId="1" fillId="2" borderId="0" xfId="0" applyNumberFormat="1" applyFont="1" applyFill="1" applyBorder="1" applyAlignment="1">
      <alignment horizontal="center" wrapText="1"/>
    </xf>
    <xf numFmtId="10" fontId="0" fillId="2" borderId="0" xfId="0" applyNumberFormat="1" applyFill="1" applyBorder="1" applyAlignment="1">
      <alignment/>
    </xf>
    <xf numFmtId="38" fontId="0" fillId="2" borderId="0" xfId="0" applyNumberFormat="1" applyFill="1" applyBorder="1" applyAlignment="1">
      <alignment/>
    </xf>
    <xf numFmtId="6" fontId="0" fillId="2" borderId="0" xfId="0" applyNumberFormat="1" applyFill="1" applyBorder="1" applyAlignment="1">
      <alignment/>
    </xf>
    <xf numFmtId="172" fontId="0" fillId="2" borderId="0" xfId="0" applyNumberFormat="1" applyFill="1" applyBorder="1" applyAlignment="1">
      <alignment/>
    </xf>
    <xf numFmtId="10" fontId="1" fillId="0" borderId="15" xfId="0" applyNumberFormat="1" applyFont="1" applyBorder="1" applyAlignment="1">
      <alignment horizontal="center" wrapText="1"/>
    </xf>
    <xf numFmtId="10" fontId="0" fillId="0" borderId="10" xfId="0" applyNumberFormat="1" applyBorder="1" applyAlignment="1">
      <alignment/>
    </xf>
    <xf numFmtId="38" fontId="0" fillId="0" borderId="10" xfId="0" applyNumberFormat="1" applyBorder="1" applyAlignment="1">
      <alignment/>
    </xf>
    <xf numFmtId="0" fontId="1" fillId="0" borderId="15" xfId="0" applyFont="1" applyBorder="1" applyAlignment="1">
      <alignment horizontal="center"/>
    </xf>
    <xf numFmtId="9" fontId="0" fillId="0" borderId="10" xfId="0" applyNumberFormat="1" applyFill="1" applyBorder="1" applyAlignment="1">
      <alignment/>
    </xf>
    <xf numFmtId="0" fontId="1" fillId="0" borderId="15" xfId="0" applyFont="1" applyFill="1" applyBorder="1" applyAlignment="1">
      <alignment horizontal="center" wrapText="1"/>
    </xf>
    <xf numFmtId="10" fontId="0" fillId="0" borderId="10" xfId="0" applyNumberFormat="1" applyFill="1" applyBorder="1" applyAlignment="1">
      <alignment/>
    </xf>
    <xf numFmtId="9" fontId="3" fillId="0" borderId="11" xfId="0" applyNumberFormat="1" applyFont="1" applyFill="1" applyBorder="1" applyAlignment="1">
      <alignment/>
    </xf>
    <xf numFmtId="0" fontId="0" fillId="2" borderId="0" xfId="0" applyFill="1" applyBorder="1" applyAlignment="1">
      <alignment/>
    </xf>
    <xf numFmtId="172" fontId="0" fillId="0" borderId="6" xfId="0" applyNumberFormat="1" applyBorder="1" applyAlignment="1">
      <alignment/>
    </xf>
    <xf numFmtId="10" fontId="0" fillId="0" borderId="13" xfId="0" applyNumberFormat="1" applyFont="1" applyFill="1" applyBorder="1" applyAlignment="1">
      <alignment/>
    </xf>
    <xf numFmtId="9" fontId="1" fillId="0" borderId="13" xfId="0" applyNumberFormat="1" applyFont="1" applyBorder="1" applyAlignment="1">
      <alignment horizontal="center" wrapText="1"/>
    </xf>
    <xf numFmtId="6" fontId="3" fillId="6" borderId="0" xfId="0" applyNumberFormat="1" applyFont="1" applyFill="1" applyAlignment="1">
      <alignment/>
    </xf>
    <xf numFmtId="0" fontId="1" fillId="0" borderId="16" xfId="0" applyFont="1" applyBorder="1" applyAlignment="1">
      <alignment/>
    </xf>
    <xf numFmtId="1" fontId="0" fillId="0" borderId="18" xfId="0" applyNumberFormat="1" applyBorder="1" applyAlignment="1">
      <alignment/>
    </xf>
    <xf numFmtId="0" fontId="3" fillId="6" borderId="19" xfId="0" applyFont="1" applyFill="1" applyBorder="1" applyAlignment="1">
      <alignment/>
    </xf>
    <xf numFmtId="173" fontId="3" fillId="6" borderId="20" xfId="0" applyNumberFormat="1" applyFont="1" applyFill="1" applyBorder="1" applyAlignment="1">
      <alignment/>
    </xf>
    <xf numFmtId="0" fontId="3" fillId="6" borderId="17" xfId="0" applyFont="1" applyFill="1" applyBorder="1" applyAlignment="1">
      <alignment/>
    </xf>
    <xf numFmtId="173" fontId="3" fillId="6" borderId="21" xfId="0" applyNumberFormat="1" applyFont="1" applyFill="1" applyBorder="1" applyAlignment="1">
      <alignment/>
    </xf>
    <xf numFmtId="10" fontId="0" fillId="7" borderId="2" xfId="0" applyNumberFormat="1" applyFill="1" applyBorder="1" applyAlignment="1">
      <alignment/>
    </xf>
    <xf numFmtId="0" fontId="8" fillId="0" borderId="0" xfId="0" applyFont="1" applyFill="1" applyAlignment="1">
      <alignment/>
    </xf>
    <xf numFmtId="9" fontId="1" fillId="0" borderId="15" xfId="0" applyNumberFormat="1" applyFont="1" applyBorder="1" applyAlignment="1">
      <alignment horizontal="center"/>
    </xf>
    <xf numFmtId="0" fontId="0" fillId="0" borderId="10" xfId="0" applyFill="1" applyBorder="1" applyAlignment="1">
      <alignment horizontal="right" wrapText="1"/>
    </xf>
    <xf numFmtId="9" fontId="1" fillId="0" borderId="15" xfId="0" applyNumberFormat="1" applyFont="1" applyBorder="1" applyAlignment="1">
      <alignment horizontal="center" wrapText="1"/>
    </xf>
    <xf numFmtId="0" fontId="1" fillId="0" borderId="5" xfId="0" applyFont="1" applyBorder="1" applyAlignment="1">
      <alignment/>
    </xf>
    <xf numFmtId="0" fontId="1" fillId="0" borderId="10" xfId="0" applyFont="1" applyBorder="1" applyAlignment="1">
      <alignment/>
    </xf>
    <xf numFmtId="0" fontId="0" fillId="8" borderId="22" xfId="0" applyFill="1" applyBorder="1" applyAlignment="1">
      <alignment/>
    </xf>
    <xf numFmtId="0" fontId="0" fillId="7" borderId="23" xfId="0" applyFill="1" applyBorder="1" applyAlignment="1">
      <alignment/>
    </xf>
    <xf numFmtId="0" fontId="0" fillId="6" borderId="23" xfId="0" applyFill="1" applyBorder="1" applyAlignment="1">
      <alignment/>
    </xf>
    <xf numFmtId="0" fontId="0" fillId="9" borderId="23" xfId="0" applyFill="1" applyBorder="1" applyAlignment="1">
      <alignment/>
    </xf>
    <xf numFmtId="0" fontId="0" fillId="3" borderId="24" xfId="0" applyFill="1" applyBorder="1" applyAlignment="1">
      <alignment/>
    </xf>
    <xf numFmtId="0" fontId="0" fillId="0" borderId="0" xfId="0" applyAlignment="1">
      <alignment/>
    </xf>
    <xf numFmtId="0" fontId="1" fillId="0" borderId="0" xfId="0" applyFont="1" applyFill="1" applyAlignment="1">
      <alignment wrapText="1"/>
    </xf>
    <xf numFmtId="0" fontId="1" fillId="0" borderId="0" xfId="0" applyFont="1" applyAlignment="1">
      <alignment wrapText="1"/>
    </xf>
    <xf numFmtId="0" fontId="0" fillId="0" borderId="2" xfId="0" applyFont="1" applyBorder="1" applyAlignment="1">
      <alignment/>
    </xf>
    <xf numFmtId="6" fontId="0" fillId="0" borderId="2" xfId="0" applyNumberFormat="1" applyFont="1" applyFill="1" applyBorder="1" applyAlignment="1">
      <alignment/>
    </xf>
    <xf numFmtId="6" fontId="0" fillId="7" borderId="2" xfId="0" applyNumberFormat="1" applyFont="1" applyFill="1" applyBorder="1" applyAlignment="1">
      <alignment/>
    </xf>
    <xf numFmtId="6" fontId="0" fillId="0" borderId="2" xfId="0" applyNumberFormat="1" applyFont="1" applyBorder="1" applyAlignment="1">
      <alignment/>
    </xf>
    <xf numFmtId="6" fontId="0" fillId="7" borderId="6" xfId="0" applyNumberFormat="1" applyFont="1" applyFill="1" applyBorder="1" applyAlignment="1">
      <alignment/>
    </xf>
    <xf numFmtId="6" fontId="0" fillId="0" borderId="0" xfId="0" applyNumberFormat="1" applyFont="1" applyAlignment="1">
      <alignment/>
    </xf>
    <xf numFmtId="6" fontId="0" fillId="0" borderId="10" xfId="0" applyNumberFormat="1" applyFill="1" applyBorder="1" applyAlignment="1">
      <alignment/>
    </xf>
    <xf numFmtId="6" fontId="0" fillId="0" borderId="10" xfId="0" applyNumberFormat="1" applyFill="1" applyBorder="1" applyAlignment="1">
      <alignment horizontal="right"/>
    </xf>
    <xf numFmtId="0" fontId="0" fillId="0" borderId="12" xfId="0" applyBorder="1" applyAlignment="1">
      <alignment/>
    </xf>
    <xf numFmtId="172" fontId="0" fillId="0" borderId="12" xfId="0" applyNumberFormat="1" applyBorder="1" applyAlignment="1">
      <alignment/>
    </xf>
    <xf numFmtId="0" fontId="1" fillId="0" borderId="2" xfId="0" applyFont="1" applyFill="1" applyBorder="1" applyAlignment="1">
      <alignment horizontal="center"/>
    </xf>
    <xf numFmtId="0" fontId="1" fillId="0" borderId="10" xfId="0" applyFont="1" applyFill="1" applyBorder="1" applyAlignment="1">
      <alignment horizontal="center"/>
    </xf>
    <xf numFmtId="180" fontId="1" fillId="0" borderId="11" xfId="0" applyNumberFormat="1" applyFont="1" applyBorder="1" applyAlignment="1">
      <alignment/>
    </xf>
    <xf numFmtId="0" fontId="5" fillId="2" borderId="0" xfId="0" applyFont="1" applyFill="1" applyAlignment="1">
      <alignment/>
    </xf>
    <xf numFmtId="172" fontId="0" fillId="0" borderId="11" xfId="0" applyNumberFormat="1" applyFont="1" applyFill="1" applyBorder="1" applyAlignment="1">
      <alignment/>
    </xf>
    <xf numFmtId="0" fontId="1" fillId="0" borderId="1" xfId="0" applyFont="1" applyBorder="1" applyAlignment="1">
      <alignment/>
    </xf>
    <xf numFmtId="0" fontId="11" fillId="0" borderId="0" xfId="0" applyFont="1" applyAlignment="1">
      <alignment/>
    </xf>
    <xf numFmtId="0" fontId="11" fillId="2" borderId="0" xfId="0" applyFont="1" applyFill="1" applyAlignment="1">
      <alignment/>
    </xf>
    <xf numFmtId="0" fontId="11" fillId="0" borderId="1" xfId="0" applyFont="1" applyBorder="1" applyAlignment="1">
      <alignment/>
    </xf>
    <xf numFmtId="4" fontId="0" fillId="0" borderId="0" xfId="0" applyNumberFormat="1" applyAlignment="1">
      <alignment horizontal="right"/>
    </xf>
    <xf numFmtId="0" fontId="0" fillId="8" borderId="9" xfId="0" applyFont="1" applyFill="1" applyBorder="1" applyAlignment="1" applyProtection="1">
      <alignment/>
      <protection locked="0"/>
    </xf>
    <xf numFmtId="6" fontId="0" fillId="8" borderId="2" xfId="0" applyNumberFormat="1" applyFont="1" applyFill="1" applyBorder="1" applyAlignment="1" applyProtection="1">
      <alignment/>
      <protection locked="0"/>
    </xf>
    <xf numFmtId="0" fontId="0" fillId="2" borderId="1" xfId="0" applyFill="1" applyBorder="1" applyAlignment="1">
      <alignment/>
    </xf>
    <xf numFmtId="0" fontId="1" fillId="2" borderId="2" xfId="0" applyFont="1" applyFill="1" applyBorder="1" applyAlignment="1">
      <alignment horizontal="center"/>
    </xf>
    <xf numFmtId="0" fontId="11" fillId="2" borderId="3" xfId="0" applyFont="1" applyFill="1" applyBorder="1" applyAlignment="1">
      <alignment/>
    </xf>
    <xf numFmtId="0" fontId="0" fillId="2" borderId="12" xfId="0" applyFill="1" applyBorder="1" applyAlignment="1">
      <alignment/>
    </xf>
    <xf numFmtId="0" fontId="12" fillId="2" borderId="1" xfId="0" applyFont="1" applyFill="1" applyBorder="1" applyAlignment="1">
      <alignment/>
    </xf>
    <xf numFmtId="0" fontId="13" fillId="2" borderId="0" xfId="0" applyFont="1" applyFill="1" applyBorder="1" applyAlignment="1">
      <alignment/>
    </xf>
    <xf numFmtId="172" fontId="3" fillId="6" borderId="18" xfId="0" applyNumberFormat="1" applyFont="1" applyFill="1" applyBorder="1" applyAlignment="1">
      <alignment/>
    </xf>
    <xf numFmtId="172" fontId="3" fillId="6" borderId="21" xfId="0" applyNumberFormat="1" applyFont="1" applyFill="1" applyBorder="1" applyAlignment="1">
      <alignment/>
    </xf>
    <xf numFmtId="0" fontId="0" fillId="0" borderId="8" xfId="0" applyBorder="1" applyAlignment="1">
      <alignment/>
    </xf>
    <xf numFmtId="0" fontId="2" fillId="2" borderId="1" xfId="0" applyFont="1" applyFill="1" applyBorder="1" applyAlignment="1">
      <alignment/>
    </xf>
    <xf numFmtId="0" fontId="0" fillId="2" borderId="2" xfId="0" applyFill="1" applyBorder="1" applyAlignment="1">
      <alignment/>
    </xf>
    <xf numFmtId="0" fontId="1" fillId="2" borderId="1" xfId="0" applyFont="1" applyFill="1" applyBorder="1" applyAlignment="1">
      <alignment/>
    </xf>
    <xf numFmtId="0" fontId="0" fillId="2" borderId="0" xfId="0" applyFill="1" applyBorder="1" applyAlignment="1">
      <alignment wrapText="1"/>
    </xf>
    <xf numFmtId="0" fontId="1" fillId="2" borderId="3" xfId="0" applyFont="1" applyFill="1" applyBorder="1" applyAlignment="1">
      <alignment/>
    </xf>
    <xf numFmtId="10" fontId="0" fillId="2" borderId="12" xfId="0" applyNumberFormat="1" applyFill="1" applyBorder="1" applyAlignment="1">
      <alignment/>
    </xf>
    <xf numFmtId="0" fontId="0" fillId="2" borderId="6" xfId="0" applyFill="1" applyBorder="1" applyAlignment="1">
      <alignment/>
    </xf>
    <xf numFmtId="0" fontId="14" fillId="2" borderId="1" xfId="0" applyFont="1" applyFill="1" applyBorder="1" applyAlignment="1">
      <alignment/>
    </xf>
    <xf numFmtId="180" fontId="4" fillId="0" borderId="2" xfId="0" applyNumberFormat="1" applyFont="1" applyBorder="1" applyAlignment="1">
      <alignment/>
    </xf>
    <xf numFmtId="180" fontId="4" fillId="0" borderId="10" xfId="0" applyNumberFormat="1" applyFont="1" applyBorder="1" applyAlignment="1">
      <alignment/>
    </xf>
    <xf numFmtId="10" fontId="11" fillId="0" borderId="0" xfId="0" applyNumberFormat="1" applyFont="1" applyAlignment="1">
      <alignment/>
    </xf>
    <xf numFmtId="9" fontId="0" fillId="8" borderId="2" xfId="0" applyNumberFormat="1" applyFill="1" applyBorder="1" applyAlignment="1" applyProtection="1">
      <alignment/>
      <protection locked="0"/>
    </xf>
    <xf numFmtId="9" fontId="0" fillId="8" borderId="1" xfId="0" applyNumberFormat="1" applyFill="1" applyBorder="1" applyAlignment="1" applyProtection="1">
      <alignment/>
      <protection locked="0"/>
    </xf>
    <xf numFmtId="6" fontId="0" fillId="8" borderId="2" xfId="0" applyNumberFormat="1" applyFill="1" applyBorder="1" applyAlignment="1" applyProtection="1">
      <alignment/>
      <protection locked="0"/>
    </xf>
    <xf numFmtId="9" fontId="0" fillId="8" borderId="10" xfId="0" applyNumberFormat="1" applyFill="1" applyBorder="1" applyAlignment="1" applyProtection="1">
      <alignment/>
      <protection locked="0"/>
    </xf>
    <xf numFmtId="10" fontId="0" fillId="8" borderId="10" xfId="0" applyNumberFormat="1" applyFill="1" applyBorder="1" applyAlignment="1" applyProtection="1">
      <alignment/>
      <protection locked="0"/>
    </xf>
    <xf numFmtId="10" fontId="0" fillId="8" borderId="0" xfId="0" applyNumberFormat="1" applyFill="1" applyBorder="1" applyAlignment="1" applyProtection="1">
      <alignment/>
      <protection locked="0"/>
    </xf>
    <xf numFmtId="10" fontId="0" fillId="8" borderId="0" xfId="0" applyNumberFormat="1" applyFont="1" applyFill="1" applyBorder="1" applyAlignment="1" applyProtection="1">
      <alignment/>
      <protection locked="0"/>
    </xf>
    <xf numFmtId="10" fontId="0" fillId="8" borderId="12" xfId="0" applyNumberFormat="1" applyFont="1" applyFill="1" applyBorder="1" applyAlignment="1" applyProtection="1">
      <alignment/>
      <protection locked="0"/>
    </xf>
    <xf numFmtId="10" fontId="0" fillId="8" borderId="12" xfId="0" applyNumberFormat="1" applyFont="1" applyFill="1" applyBorder="1" applyAlignment="1" applyProtection="1">
      <alignment/>
      <protection locked="0"/>
    </xf>
    <xf numFmtId="10" fontId="0" fillId="8" borderId="2" xfId="0" applyNumberFormat="1" applyFill="1" applyBorder="1" applyAlignment="1" applyProtection="1">
      <alignment/>
      <protection locked="0"/>
    </xf>
    <xf numFmtId="38" fontId="0" fillId="8" borderId="2" xfId="0" applyNumberFormat="1" applyFill="1" applyBorder="1" applyAlignment="1" applyProtection="1">
      <alignment/>
      <protection locked="0"/>
    </xf>
    <xf numFmtId="38" fontId="0" fillId="8" borderId="2" xfId="0" applyNumberFormat="1" applyFont="1" applyFill="1" applyBorder="1" applyAlignment="1" applyProtection="1">
      <alignment/>
      <protection locked="0"/>
    </xf>
    <xf numFmtId="3" fontId="0" fillId="8" borderId="2" xfId="0" applyNumberFormat="1" applyFont="1" applyFill="1" applyBorder="1" applyAlignment="1" applyProtection="1">
      <alignment/>
      <protection locked="0"/>
    </xf>
    <xf numFmtId="172" fontId="0" fillId="8" borderId="2" xfId="0" applyNumberFormat="1" applyFont="1" applyFill="1" applyBorder="1" applyAlignment="1" applyProtection="1">
      <alignment/>
      <protection locked="0"/>
    </xf>
    <xf numFmtId="10" fontId="0" fillId="8" borderId="2" xfId="0" applyNumberFormat="1" applyFont="1" applyFill="1" applyBorder="1" applyAlignment="1" applyProtection="1">
      <alignment/>
      <protection locked="0"/>
    </xf>
    <xf numFmtId="1" fontId="0" fillId="8" borderId="2" xfId="0" applyNumberFormat="1" applyFont="1" applyFill="1" applyBorder="1" applyAlignment="1" applyProtection="1">
      <alignment/>
      <protection locked="0"/>
    </xf>
    <xf numFmtId="172" fontId="0" fillId="8" borderId="10" xfId="0" applyNumberFormat="1" applyFill="1" applyBorder="1" applyAlignment="1" applyProtection="1">
      <alignment/>
      <protection locked="0"/>
    </xf>
    <xf numFmtId="9" fontId="0" fillId="8" borderId="0" xfId="0" applyNumberFormat="1" applyFill="1" applyBorder="1" applyAlignment="1" applyProtection="1">
      <alignment/>
      <protection locked="0"/>
    </xf>
    <xf numFmtId="6" fontId="0" fillId="8" borderId="10" xfId="0" applyNumberFormat="1" applyFill="1" applyBorder="1" applyAlignment="1" applyProtection="1">
      <alignment/>
      <protection locked="0"/>
    </xf>
    <xf numFmtId="9" fontId="0" fillId="8" borderId="12" xfId="0" applyNumberFormat="1" applyFont="1" applyFill="1" applyBorder="1" applyAlignment="1" applyProtection="1">
      <alignment/>
      <protection locked="0"/>
    </xf>
    <xf numFmtId="0" fontId="0" fillId="2" borderId="9" xfId="0" applyFill="1" applyBorder="1" applyAlignment="1">
      <alignment/>
    </xf>
    <xf numFmtId="0" fontId="0" fillId="2" borderId="3" xfId="0" applyFill="1" applyBorder="1" applyAlignment="1">
      <alignment/>
    </xf>
    <xf numFmtId="0" fontId="1" fillId="2" borderId="0" xfId="0" applyFont="1" applyFill="1" applyBorder="1" applyAlignment="1">
      <alignment horizontal="center"/>
    </xf>
    <xf numFmtId="0" fontId="12" fillId="2" borderId="0" xfId="0" applyFont="1" applyFill="1" applyAlignment="1">
      <alignment/>
    </xf>
    <xf numFmtId="172" fontId="13" fillId="2" borderId="0" xfId="0" applyNumberFormat="1" applyFont="1" applyFill="1" applyBorder="1" applyAlignment="1">
      <alignment/>
    </xf>
    <xf numFmtId="0" fontId="13" fillId="2" borderId="0" xfId="0" applyFont="1" applyFill="1" applyAlignment="1">
      <alignment/>
    </xf>
    <xf numFmtId="180" fontId="0" fillId="2" borderId="0" xfId="0" applyNumberFormat="1" applyFill="1" applyBorder="1" applyAlignment="1">
      <alignment/>
    </xf>
    <xf numFmtId="0" fontId="11" fillId="2" borderId="0" xfId="0" applyFont="1" applyFill="1" applyBorder="1" applyAlignment="1">
      <alignment/>
    </xf>
    <xf numFmtId="0" fontId="1" fillId="2" borderId="0" xfId="0" applyFont="1" applyFill="1" applyBorder="1" applyAlignment="1">
      <alignment/>
    </xf>
    <xf numFmtId="172" fontId="1" fillId="2" borderId="0" xfId="0" applyNumberFormat="1" applyFont="1" applyFill="1" applyBorder="1" applyAlignment="1">
      <alignment/>
    </xf>
    <xf numFmtId="180" fontId="1" fillId="2" borderId="0" xfId="0" applyNumberFormat="1" applyFont="1" applyFill="1" applyBorder="1" applyAlignment="1">
      <alignment/>
    </xf>
    <xf numFmtId="0" fontId="3" fillId="2" borderId="0" xfId="0" applyFont="1" applyFill="1" applyAlignment="1">
      <alignment horizontal="center"/>
    </xf>
    <xf numFmtId="0" fontId="1" fillId="2" borderId="0" xfId="0" applyFont="1" applyFill="1" applyAlignment="1">
      <alignment/>
    </xf>
    <xf numFmtId="172" fontId="12" fillId="2" borderId="0" xfId="0" applyNumberFormat="1" applyFont="1" applyFill="1" applyBorder="1" applyAlignment="1">
      <alignment/>
    </xf>
    <xf numFmtId="172" fontId="13" fillId="2" borderId="2" xfId="0" applyNumberFormat="1" applyFont="1" applyFill="1" applyBorder="1" applyAlignment="1">
      <alignment/>
    </xf>
    <xf numFmtId="180" fontId="11" fillId="2" borderId="12" xfId="0" applyNumberFormat="1" applyFont="1" applyFill="1" applyBorder="1" applyAlignment="1">
      <alignment/>
    </xf>
    <xf numFmtId="180" fontId="0" fillId="2" borderId="12" xfId="0" applyNumberFormat="1" applyFill="1" applyBorder="1" applyAlignment="1">
      <alignment/>
    </xf>
    <xf numFmtId="180" fontId="0" fillId="2" borderId="6" xfId="0" applyNumberFormat="1" applyFill="1" applyBorder="1" applyAlignment="1">
      <alignment/>
    </xf>
    <xf numFmtId="0" fontId="0" fillId="0" borderId="2" xfId="0" applyBorder="1" applyAlignment="1" quotePrefix="1">
      <alignment/>
    </xf>
    <xf numFmtId="0" fontId="0" fillId="0" borderId="2" xfId="0"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0" fillId="0" borderId="5" xfId="0"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25" xfId="0" applyBorder="1" applyAlignment="1">
      <alignment horizontal="center"/>
    </xf>
    <xf numFmtId="0" fontId="0" fillId="0" borderId="2" xfId="0" applyBorder="1" applyAlignment="1">
      <alignment horizontal="right" wrapText="1"/>
    </xf>
    <xf numFmtId="0" fontId="0" fillId="0" borderId="2" xfId="0" applyFill="1" applyBorder="1" applyAlignment="1">
      <alignment horizontal="right"/>
    </xf>
    <xf numFmtId="0" fontId="0" fillId="0" borderId="2" xfId="0" applyFill="1" applyBorder="1" applyAlignment="1">
      <alignment horizontal="right" wrapText="1"/>
    </xf>
    <xf numFmtId="0" fontId="0" fillId="0" borderId="6" xfId="0" applyFill="1" applyBorder="1" applyAlignment="1">
      <alignment horizontal="right"/>
    </xf>
    <xf numFmtId="0" fontId="2" fillId="0" borderId="0" xfId="0" applyFont="1" applyAlignment="1">
      <alignment/>
    </xf>
    <xf numFmtId="9" fontId="0" fillId="0" borderId="7" xfId="0" applyNumberFormat="1" applyBorder="1" applyAlignment="1">
      <alignment/>
    </xf>
    <xf numFmtId="9" fontId="0" fillId="0" borderId="26" xfId="0" applyNumberFormat="1" applyBorder="1" applyAlignment="1">
      <alignment/>
    </xf>
    <xf numFmtId="9" fontId="0" fillId="0" borderId="6" xfId="0" applyNumberFormat="1" applyBorder="1" applyAlignment="1">
      <alignment/>
    </xf>
    <xf numFmtId="172" fontId="0" fillId="0" borderId="7" xfId="0" applyNumberFormat="1" applyBorder="1" applyAlignment="1">
      <alignment/>
    </xf>
    <xf numFmtId="1" fontId="0" fillId="0" borderId="7" xfId="0" applyNumberFormat="1" applyBorder="1" applyAlignment="1">
      <alignment/>
    </xf>
    <xf numFmtId="1" fontId="0" fillId="0" borderId="2" xfId="0" applyNumberFormat="1" applyBorder="1" applyAlignment="1">
      <alignment/>
    </xf>
    <xf numFmtId="9" fontId="0" fillId="0" borderId="0" xfId="0" applyNumberFormat="1" applyBorder="1" applyAlignment="1">
      <alignment/>
    </xf>
    <xf numFmtId="172" fontId="0" fillId="0" borderId="0" xfId="0" applyNumberFormat="1" applyBorder="1" applyAlignment="1">
      <alignment/>
    </xf>
    <xf numFmtId="1" fontId="0" fillId="0" borderId="0" xfId="0" applyNumberFormat="1" applyBorder="1" applyAlignment="1">
      <alignment/>
    </xf>
    <xf numFmtId="9" fontId="0" fillId="0" borderId="12" xfId="0" applyNumberFormat="1" applyBorder="1" applyAlignment="1">
      <alignment/>
    </xf>
    <xf numFmtId="0" fontId="0" fillId="0" borderId="12" xfId="0" applyBorder="1" applyAlignment="1">
      <alignment horizontal="center"/>
    </xf>
    <xf numFmtId="0" fontId="0" fillId="0" borderId="15" xfId="0" applyBorder="1" applyAlignment="1">
      <alignment horizontal="center"/>
    </xf>
    <xf numFmtId="0" fontId="0" fillId="10" borderId="17" xfId="0" applyFill="1" applyBorder="1" applyAlignment="1">
      <alignment horizontal="center"/>
    </xf>
    <xf numFmtId="0" fontId="0" fillId="10" borderId="27" xfId="0" applyFill="1" applyBorder="1" applyAlignment="1">
      <alignment horizontal="center"/>
    </xf>
    <xf numFmtId="0" fontId="0" fillId="10" borderId="25" xfId="0" applyFill="1" applyBorder="1" applyAlignment="1">
      <alignment/>
    </xf>
    <xf numFmtId="9" fontId="0" fillId="10" borderId="7" xfId="0" applyNumberFormat="1" applyFill="1" applyBorder="1" applyAlignment="1">
      <alignment/>
    </xf>
    <xf numFmtId="9" fontId="0" fillId="10" borderId="0" xfId="0" applyNumberFormat="1" applyFill="1" applyBorder="1" applyAlignment="1">
      <alignment/>
    </xf>
    <xf numFmtId="9" fontId="0" fillId="10" borderId="2" xfId="0" applyNumberFormat="1" applyFill="1" applyBorder="1" applyAlignment="1">
      <alignment/>
    </xf>
    <xf numFmtId="9" fontId="0" fillId="10" borderId="26" xfId="0" applyNumberFormat="1" applyFill="1" applyBorder="1" applyAlignment="1">
      <alignment/>
    </xf>
    <xf numFmtId="9" fontId="0" fillId="10" borderId="12" xfId="0" applyNumberFormat="1" applyFill="1" applyBorder="1" applyAlignment="1">
      <alignment/>
    </xf>
    <xf numFmtId="9" fontId="0" fillId="10" borderId="6" xfId="0" applyNumberFormat="1" applyFill="1" applyBorder="1" applyAlignment="1">
      <alignment/>
    </xf>
    <xf numFmtId="0" fontId="0" fillId="10" borderId="2" xfId="0" applyFill="1" applyBorder="1" applyAlignment="1">
      <alignment horizontal="right"/>
    </xf>
    <xf numFmtId="0" fontId="0" fillId="10" borderId="2" xfId="0" applyFill="1" applyBorder="1" applyAlignment="1">
      <alignment/>
    </xf>
    <xf numFmtId="181" fontId="0" fillId="0" borderId="0" xfId="0" applyNumberFormat="1" applyBorder="1" applyAlignment="1">
      <alignment/>
    </xf>
    <xf numFmtId="0" fontId="0" fillId="10" borderId="10" xfId="0" applyFill="1" applyBorder="1" applyAlignment="1">
      <alignment/>
    </xf>
    <xf numFmtId="172" fontId="0" fillId="10" borderId="7" xfId="0" applyNumberFormat="1" applyFill="1" applyBorder="1" applyAlignment="1">
      <alignment/>
    </xf>
    <xf numFmtId="172" fontId="0" fillId="10" borderId="2" xfId="0" applyNumberFormat="1" applyFill="1" applyBorder="1" applyAlignment="1">
      <alignment/>
    </xf>
    <xf numFmtId="172" fontId="0" fillId="10" borderId="0" xfId="0" applyNumberFormat="1" applyFill="1" applyBorder="1" applyAlignment="1">
      <alignment/>
    </xf>
    <xf numFmtId="0" fontId="0" fillId="10" borderId="2" xfId="0" applyFill="1" applyBorder="1" applyAlignment="1" quotePrefix="1">
      <alignment/>
    </xf>
    <xf numFmtId="181" fontId="0" fillId="0" borderId="2" xfId="0" applyNumberFormat="1" applyBorder="1" applyAlignment="1">
      <alignment/>
    </xf>
    <xf numFmtId="9" fontId="0" fillId="0" borderId="0" xfId="0" applyNumberFormat="1" applyFill="1" applyBorder="1" applyAlignment="1">
      <alignment/>
    </xf>
    <xf numFmtId="181" fontId="0" fillId="0" borderId="7" xfId="0" applyNumberFormat="1" applyBorder="1" applyAlignment="1">
      <alignment/>
    </xf>
    <xf numFmtId="172" fontId="0" fillId="0" borderId="0" xfId="0" applyNumberFormat="1" applyFill="1" applyBorder="1" applyAlignment="1">
      <alignment/>
    </xf>
    <xf numFmtId="9" fontId="0" fillId="0" borderId="0" xfId="0" applyNumberFormat="1" applyFont="1" applyFill="1" applyBorder="1" applyAlignment="1" applyProtection="1">
      <alignment/>
      <protection locked="0"/>
    </xf>
    <xf numFmtId="173" fontId="1" fillId="0" borderId="9" xfId="0" applyNumberFormat="1" applyFont="1" applyBorder="1" applyAlignment="1">
      <alignment horizontal="center" wrapText="1"/>
    </xf>
    <xf numFmtId="10" fontId="0" fillId="0" borderId="6" xfId="0" applyNumberFormat="1" applyBorder="1" applyAlignment="1">
      <alignment/>
    </xf>
    <xf numFmtId="0" fontId="1" fillId="0" borderId="5" xfId="0" applyFont="1" applyBorder="1" applyAlignment="1">
      <alignment horizontal="center"/>
    </xf>
    <xf numFmtId="0" fontId="22" fillId="2" borderId="1" xfId="0" applyFont="1" applyFill="1" applyBorder="1" applyAlignment="1">
      <alignment horizontal="right"/>
    </xf>
    <xf numFmtId="0" fontId="0" fillId="2" borderId="0" xfId="0" applyFont="1" applyFill="1" applyBorder="1" applyAlignment="1">
      <alignment/>
    </xf>
    <xf numFmtId="0" fontId="24" fillId="11" borderId="1" xfId="0" applyFont="1" applyFill="1" applyBorder="1" applyAlignment="1">
      <alignment/>
    </xf>
    <xf numFmtId="0" fontId="24" fillId="11" borderId="0" xfId="0" applyFont="1" applyFill="1" applyBorder="1" applyAlignment="1">
      <alignment/>
    </xf>
    <xf numFmtId="0" fontId="24" fillId="4" borderId="1" xfId="0" applyFont="1" applyFill="1" applyBorder="1" applyAlignment="1">
      <alignment/>
    </xf>
    <xf numFmtId="0" fontId="24" fillId="4" borderId="0" xfId="0" applyFont="1" applyFill="1" applyBorder="1" applyAlignment="1">
      <alignment/>
    </xf>
    <xf numFmtId="172" fontId="0" fillId="0" borderId="12" xfId="0" applyNumberFormat="1" applyBorder="1" applyAlignment="1">
      <alignment horizontal="right"/>
    </xf>
    <xf numFmtId="172" fontId="0" fillId="0" borderId="6" xfId="0" applyNumberFormat="1" applyBorder="1" applyAlignment="1">
      <alignment horizontal="right"/>
    </xf>
    <xf numFmtId="6" fontId="0" fillId="7" borderId="11" xfId="0" applyNumberFormat="1" applyFont="1" applyFill="1" applyBorder="1" applyAlignment="1">
      <alignment/>
    </xf>
    <xf numFmtId="0" fontId="0" fillId="5" borderId="10" xfId="0" applyFill="1" applyBorder="1" applyAlignment="1">
      <alignment/>
    </xf>
    <xf numFmtId="0" fontId="1" fillId="0" borderId="11" xfId="0" applyFont="1" applyBorder="1" applyAlignment="1">
      <alignment/>
    </xf>
    <xf numFmtId="172" fontId="1" fillId="0" borderId="6" xfId="0" applyNumberFormat="1" applyFont="1" applyBorder="1" applyAlignment="1">
      <alignment/>
    </xf>
    <xf numFmtId="172" fontId="1" fillId="0" borderId="11" xfId="0" applyNumberFormat="1" applyFont="1" applyBorder="1" applyAlignment="1">
      <alignment/>
    </xf>
    <xf numFmtId="10" fontId="0" fillId="0" borderId="2" xfId="0" applyNumberFormat="1" applyFont="1" applyBorder="1" applyAlignment="1">
      <alignment/>
    </xf>
    <xf numFmtId="0" fontId="0" fillId="0" borderId="9" xfId="0" applyFont="1" applyFill="1" applyBorder="1" applyAlignment="1" applyProtection="1">
      <alignment/>
      <protection locked="0"/>
    </xf>
    <xf numFmtId="0" fontId="0" fillId="0" borderId="0" xfId="0" applyFill="1" applyAlignment="1">
      <alignment horizontal="right"/>
    </xf>
    <xf numFmtId="10" fontId="0" fillId="0" borderId="13" xfId="0" applyNumberFormat="1" applyFill="1" applyBorder="1" applyAlignment="1">
      <alignment/>
    </xf>
    <xf numFmtId="0" fontId="0" fillId="0" borderId="15" xfId="0" applyFill="1" applyBorder="1" applyAlignment="1">
      <alignment/>
    </xf>
    <xf numFmtId="172" fontId="0" fillId="0" borderId="6" xfId="0" applyNumberFormat="1" applyFill="1" applyBorder="1" applyAlignment="1">
      <alignment/>
    </xf>
    <xf numFmtId="172" fontId="0" fillId="0" borderId="2" xfId="0" applyNumberFormat="1" applyBorder="1" applyAlignment="1">
      <alignment/>
    </xf>
    <xf numFmtId="172" fontId="0" fillId="0" borderId="9" xfId="0" applyNumberFormat="1" applyFill="1" applyBorder="1" applyAlignment="1">
      <alignment/>
    </xf>
    <xf numFmtId="0" fontId="0" fillId="0" borderId="4" xfId="0" applyFont="1" applyFill="1" applyBorder="1" applyAlignment="1">
      <alignment/>
    </xf>
    <xf numFmtId="6" fontId="0" fillId="8" borderId="9" xfId="0" applyNumberFormat="1" applyFont="1" applyFill="1" applyBorder="1" applyAlignment="1" applyProtection="1">
      <alignment/>
      <protection locked="0"/>
    </xf>
    <xf numFmtId="172" fontId="0" fillId="8" borderId="6" xfId="0" applyNumberFormat="1" applyFont="1" applyFill="1" applyBorder="1" applyAlignment="1" applyProtection="1">
      <alignment/>
      <protection locked="0"/>
    </xf>
    <xf numFmtId="6" fontId="0" fillId="0" borderId="6" xfId="0" applyNumberFormat="1" applyFill="1" applyBorder="1" applyAlignment="1">
      <alignment/>
    </xf>
    <xf numFmtId="172" fontId="0" fillId="8" borderId="2" xfId="0" applyNumberFormat="1" applyFill="1" applyBorder="1" applyAlignment="1" applyProtection="1">
      <alignment/>
      <protection locked="0"/>
    </xf>
    <xf numFmtId="0" fontId="0" fillId="8" borderId="6" xfId="0" applyFont="1" applyFill="1" applyBorder="1" applyAlignment="1" applyProtection="1">
      <alignment/>
      <protection locked="0"/>
    </xf>
    <xf numFmtId="10" fontId="0" fillId="8" borderId="13" xfId="0" applyNumberFormat="1" applyFont="1" applyFill="1" applyBorder="1" applyAlignment="1" applyProtection="1">
      <alignment/>
      <protection locked="0"/>
    </xf>
    <xf numFmtId="10" fontId="0" fillId="8" borderId="13" xfId="0" applyNumberFormat="1" applyFill="1" applyBorder="1" applyAlignment="1" applyProtection="1">
      <alignment horizontal="right"/>
      <protection locked="0"/>
    </xf>
    <xf numFmtId="10" fontId="0" fillId="8" borderId="13" xfId="0" applyNumberFormat="1" applyFill="1" applyBorder="1" applyAlignment="1" applyProtection="1">
      <alignment/>
      <protection locked="0"/>
    </xf>
    <xf numFmtId="10" fontId="0" fillId="8" borderId="0" xfId="0" applyNumberFormat="1" applyFont="1" applyFill="1" applyBorder="1" applyAlignment="1" applyProtection="1">
      <alignment/>
      <protection locked="0"/>
    </xf>
    <xf numFmtId="10" fontId="0" fillId="0" borderId="0" xfId="0" applyNumberFormat="1" applyFill="1" applyBorder="1" applyAlignment="1" applyProtection="1">
      <alignment/>
      <protection locked="0"/>
    </xf>
    <xf numFmtId="172" fontId="0" fillId="0" borderId="10" xfId="0" applyNumberFormat="1" applyFill="1" applyBorder="1" applyAlignment="1" applyProtection="1">
      <alignment/>
      <protection locked="0"/>
    </xf>
    <xf numFmtId="9" fontId="1" fillId="8" borderId="28" xfId="0" applyNumberFormat="1" applyFont="1" applyFill="1" applyBorder="1" applyAlignment="1" applyProtection="1">
      <alignment/>
      <protection locked="0"/>
    </xf>
    <xf numFmtId="9" fontId="1" fillId="8" borderId="29" xfId="0" applyNumberFormat="1" applyFont="1" applyFill="1" applyBorder="1" applyAlignment="1" applyProtection="1">
      <alignment/>
      <protection locked="0"/>
    </xf>
    <xf numFmtId="0" fontId="0" fillId="0" borderId="2" xfId="0" applyBorder="1" applyAlignment="1" applyProtection="1">
      <alignment/>
      <protection locked="0"/>
    </xf>
    <xf numFmtId="9" fontId="0" fillId="0" borderId="0" xfId="0" applyNumberFormat="1" applyFill="1" applyBorder="1" applyAlignment="1" applyProtection="1">
      <alignment/>
      <protection locked="0"/>
    </xf>
    <xf numFmtId="0" fontId="0" fillId="0" borderId="10" xfId="0" applyBorder="1" applyAlignment="1" applyProtection="1">
      <alignment/>
      <protection locked="0"/>
    </xf>
    <xf numFmtId="9" fontId="0" fillId="8" borderId="6" xfId="0" applyNumberFormat="1" applyFill="1" applyBorder="1" applyAlignment="1">
      <alignment/>
    </xf>
    <xf numFmtId="0" fontId="3" fillId="4" borderId="0" xfId="0" applyFont="1" applyFill="1" applyAlignment="1">
      <alignment horizontal="center"/>
    </xf>
    <xf numFmtId="0" fontId="15" fillId="2" borderId="4"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 fillId="0" borderId="14" xfId="0" applyFont="1" applyBorder="1" applyAlignment="1">
      <alignment horizontal="center"/>
    </xf>
    <xf numFmtId="0" fontId="0" fillId="0" borderId="13" xfId="0" applyBorder="1" applyAlignment="1">
      <alignment horizontal="center"/>
    </xf>
    <xf numFmtId="10" fontId="1" fillId="0" borderId="14" xfId="0" applyNumberFormat="1" applyFont="1" applyBorder="1" applyAlignment="1">
      <alignment horizontal="center" wrapText="1"/>
    </xf>
    <xf numFmtId="10" fontId="1" fillId="0" borderId="13" xfId="0" applyNumberFormat="1" applyFont="1" applyBorder="1" applyAlignment="1">
      <alignment horizont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172" fontId="0" fillId="0" borderId="30" xfId="0" applyNumberFormat="1" applyBorder="1" applyAlignment="1">
      <alignment/>
    </xf>
    <xf numFmtId="0" fontId="0" fillId="0" borderId="25" xfId="0" applyBorder="1" applyAlignment="1">
      <alignment/>
    </xf>
    <xf numFmtId="9" fontId="1" fillId="0" borderId="14" xfId="0" applyNumberFormat="1" applyFont="1" applyBorder="1" applyAlignment="1">
      <alignment horizontal="center"/>
    </xf>
    <xf numFmtId="172" fontId="0" fillId="0" borderId="0" xfId="0" applyNumberFormat="1" applyBorder="1" applyAlignment="1">
      <alignment horizontal="right"/>
    </xf>
    <xf numFmtId="172" fontId="0" fillId="0" borderId="2" xfId="0" applyNumberFormat="1" applyBorder="1" applyAlignment="1">
      <alignment horizontal="right"/>
    </xf>
    <xf numFmtId="0" fontId="1" fillId="0" borderId="0" xfId="0" applyFont="1" applyFill="1" applyAlignment="1">
      <alignment wrapText="1"/>
    </xf>
    <xf numFmtId="0" fontId="0" fillId="0" borderId="0" xfId="0" applyAlignment="1">
      <alignment/>
    </xf>
    <xf numFmtId="172" fontId="0" fillId="0" borderId="28" xfId="0" applyNumberFormat="1" applyBorder="1" applyAlignment="1">
      <alignment/>
    </xf>
    <xf numFmtId="0" fontId="0" fillId="0" borderId="18" xfId="0" applyBorder="1" applyAlignment="1">
      <alignment/>
    </xf>
    <xf numFmtId="172" fontId="0" fillId="0" borderId="0" xfId="0" applyNumberFormat="1" applyBorder="1" applyAlignment="1">
      <alignment/>
    </xf>
    <xf numFmtId="172" fontId="0" fillId="0" borderId="2" xfId="0" applyNumberFormat="1" applyBorder="1" applyAlignment="1">
      <alignment/>
    </xf>
    <xf numFmtId="0" fontId="0" fillId="0" borderId="2" xfId="0" applyBorder="1" applyAlignment="1">
      <alignment/>
    </xf>
    <xf numFmtId="0" fontId="1" fillId="0" borderId="0" xfId="0" applyFont="1" applyAlignment="1">
      <alignment horizontal="left" wrapText="1" indent="1"/>
    </xf>
    <xf numFmtId="0" fontId="1" fillId="0" borderId="0" xfId="0" applyFont="1" applyAlignment="1">
      <alignment/>
    </xf>
    <xf numFmtId="0" fontId="1" fillId="0" borderId="0" xfId="0" applyFont="1" applyAlignment="1">
      <alignment wrapText="1"/>
    </xf>
    <xf numFmtId="172" fontId="0" fillId="0" borderId="8" xfId="0" applyNumberFormat="1" applyBorder="1" applyAlignment="1">
      <alignment/>
    </xf>
    <xf numFmtId="172" fontId="0" fillId="0" borderId="9" xfId="0" applyNumberFormat="1" applyBorder="1" applyAlignment="1">
      <alignment/>
    </xf>
    <xf numFmtId="172" fontId="0" fillId="0" borderId="12" xfId="0" applyNumberFormat="1" applyBorder="1" applyAlignment="1">
      <alignment/>
    </xf>
    <xf numFmtId="0" fontId="0" fillId="0" borderId="6" xfId="0" applyBorder="1" applyAlignment="1">
      <alignment/>
    </xf>
    <xf numFmtId="0" fontId="0" fillId="0" borderId="31" xfId="0" applyBorder="1" applyAlignment="1">
      <alignment horizontal="center"/>
    </xf>
    <xf numFmtId="0" fontId="0" fillId="0" borderId="32" xfId="0" applyBorder="1" applyAlignment="1">
      <alignment horizontal="center"/>
    </xf>
    <xf numFmtId="0" fontId="0" fillId="10" borderId="31" xfId="0" applyFill="1" applyBorder="1" applyAlignment="1">
      <alignment horizontal="center" wrapText="1"/>
    </xf>
    <xf numFmtId="0" fontId="0" fillId="10" borderId="32"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Global variation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Calc'!$A$52:$U$52</c:f>
              <c:num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'Ranges Graphs Calc'!$A$50:$U$50</c:f>
              <c:numCache>
                <c:ptCount val="21"/>
                <c:pt idx="0">
                  <c:v>0.83127519788234</c:v>
                </c:pt>
                <c:pt idx="1">
                  <c:v>0.753619646873237</c:v>
                </c:pt>
                <c:pt idx="2">
                  <c:v>0.688852820359304</c:v>
                </c:pt>
                <c:pt idx="3">
                  <c:v>0.634001769944864</c:v>
                </c:pt>
                <c:pt idx="4">
                  <c:v>0.586942849697047</c:v>
                </c:pt>
                <c:pt idx="5">
                  <c:v>0.546118653348971</c:v>
                </c:pt>
                <c:pt idx="6">
                  <c:v>0.510361086369588</c:v>
                </c:pt>
                <c:pt idx="7">
                  <c:v>0.478776875611278</c:v>
                </c:pt>
                <c:pt idx="8">
                  <c:v>0.450671238038371</c:v>
                </c:pt>
                <c:pt idx="9">
                  <c:v>0.425495651455076</c:v>
                </c:pt>
                <c:pt idx="10">
                  <c:v>0.402811292404081</c:v>
                </c:pt>
                <c:pt idx="11">
                  <c:v>0.382262919359525</c:v>
                </c:pt>
                <c:pt idx="12">
                  <c:v>0.363559878024131</c:v>
                </c:pt>
                <c:pt idx="13">
                  <c:v>0.346462061328837</c:v>
                </c:pt>
                <c:pt idx="14">
                  <c:v>0.330769379138349</c:v>
                </c:pt>
                <c:pt idx="15">
                  <c:v>0.316313755026776</c:v>
                </c:pt>
                <c:pt idx="16">
                  <c:v>0.302952969812966</c:v>
                </c:pt>
                <c:pt idx="17">
                  <c:v>0.290565873103166</c:v>
                </c:pt>
                <c:pt idx="18">
                  <c:v>0.279048620864912</c:v>
                </c:pt>
                <c:pt idx="19">
                  <c:v>0.268311691387557</c:v>
                </c:pt>
                <c:pt idx="20">
                  <c:v>0.258277498018806</c:v>
                </c:pt>
              </c:numCache>
            </c:numRef>
          </c:val>
          <c:smooth val="0"/>
        </c:ser>
        <c:axId val="24039680"/>
        <c:axId val="15030529"/>
      </c:lineChart>
      <c:catAx>
        <c:axId val="2403968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5030529"/>
        <c:crosses val="autoZero"/>
        <c:auto val="1"/>
        <c:lblOffset val="100"/>
        <c:noMultiLvlLbl val="0"/>
      </c:catAx>
      <c:valAx>
        <c:axId val="1503052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403968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Calc'!$A$92:$U$92</c:f>
              <c:numCache>
                <c:ptCount val="21"/>
                <c:pt idx="0">
                  <c:v>50</c:v>
                </c:pt>
                <c:pt idx="1">
                  <c:v>52</c:v>
                </c:pt>
                <c:pt idx="2">
                  <c:v>54</c:v>
                </c:pt>
                <c:pt idx="3">
                  <c:v>56</c:v>
                </c:pt>
                <c:pt idx="4">
                  <c:v>58</c:v>
                </c:pt>
                <c:pt idx="5">
                  <c:v>60</c:v>
                </c:pt>
                <c:pt idx="6">
                  <c:v>62</c:v>
                </c:pt>
                <c:pt idx="7">
                  <c:v>64</c:v>
                </c:pt>
                <c:pt idx="8">
                  <c:v>66</c:v>
                </c:pt>
                <c:pt idx="9">
                  <c:v>68</c:v>
                </c:pt>
                <c:pt idx="10">
                  <c:v>70</c:v>
                </c:pt>
                <c:pt idx="11">
                  <c:v>72</c:v>
                </c:pt>
                <c:pt idx="12">
                  <c:v>74</c:v>
                </c:pt>
                <c:pt idx="13">
                  <c:v>76</c:v>
                </c:pt>
                <c:pt idx="14">
                  <c:v>78</c:v>
                </c:pt>
                <c:pt idx="15">
                  <c:v>80</c:v>
                </c:pt>
                <c:pt idx="16">
                  <c:v>82</c:v>
                </c:pt>
                <c:pt idx="17">
                  <c:v>84</c:v>
                </c:pt>
                <c:pt idx="18">
                  <c:v>86</c:v>
                </c:pt>
                <c:pt idx="19">
                  <c:v>88</c:v>
                </c:pt>
                <c:pt idx="20">
                  <c:v>90</c:v>
                </c:pt>
              </c:numCache>
            </c:numRef>
          </c:cat>
          <c:val>
            <c:numRef>
              <c:f>'Ranges Graphs Calc'!$A$91:$U$91</c:f>
              <c:numCache>
                <c:ptCount val="21"/>
                <c:pt idx="0">
                  <c:v>214118605.4128</c:v>
                </c:pt>
                <c:pt idx="1">
                  <c:v>214350497.667</c:v>
                </c:pt>
                <c:pt idx="2">
                  <c:v>214582389.9212</c:v>
                </c:pt>
                <c:pt idx="3">
                  <c:v>214814282.1754</c:v>
                </c:pt>
                <c:pt idx="4">
                  <c:v>215046174.4296</c:v>
                </c:pt>
                <c:pt idx="5">
                  <c:v>215278066.6837</c:v>
                </c:pt>
                <c:pt idx="6">
                  <c:v>215509958.9379</c:v>
                </c:pt>
                <c:pt idx="7">
                  <c:v>215741851.1921</c:v>
                </c:pt>
                <c:pt idx="8">
                  <c:v>215973743.4463</c:v>
                </c:pt>
                <c:pt idx="9">
                  <c:v>216205635.7005</c:v>
                </c:pt>
                <c:pt idx="10">
                  <c:v>216437527.9547</c:v>
                </c:pt>
                <c:pt idx="11">
                  <c:v>216669420.2089</c:v>
                </c:pt>
                <c:pt idx="12">
                  <c:v>216901312.4631</c:v>
                </c:pt>
                <c:pt idx="13">
                  <c:v>217133204.7173</c:v>
                </c:pt>
                <c:pt idx="14">
                  <c:v>217365096.9715</c:v>
                </c:pt>
                <c:pt idx="15">
                  <c:v>217596989.2256</c:v>
                </c:pt>
                <c:pt idx="16">
                  <c:v>217828881.4798</c:v>
                </c:pt>
                <c:pt idx="17">
                  <c:v>218060773.734</c:v>
                </c:pt>
                <c:pt idx="18">
                  <c:v>218292665.9882</c:v>
                </c:pt>
                <c:pt idx="19">
                  <c:v>218524558.2424</c:v>
                </c:pt>
                <c:pt idx="20">
                  <c:v>218756450.4966</c:v>
                </c:pt>
              </c:numCache>
            </c:numRef>
          </c:val>
          <c:smooth val="0"/>
        </c:ser>
        <c:axId val="59824602"/>
        <c:axId val="1550507"/>
      </c:lineChart>
      <c:catAx>
        <c:axId val="5982460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550507"/>
        <c:crosses val="autoZero"/>
        <c:auto val="1"/>
        <c:lblOffset val="100"/>
        <c:noMultiLvlLbl val="0"/>
      </c:catAx>
      <c:valAx>
        <c:axId val="155050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982460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cost for expedited shipping (during regular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Calc'!$A$102:$U$102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Calc'!$A$100:$U$100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13954564"/>
        <c:axId val="58482213"/>
      </c:lineChart>
      <c:catAx>
        <c:axId val="1395456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8482213"/>
        <c:crosses val="autoZero"/>
        <c:auto val="1"/>
        <c:lblOffset val="100"/>
        <c:noMultiLvlLbl val="0"/>
      </c:catAx>
      <c:valAx>
        <c:axId val="5848221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395456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cost for expedited shipping (during regular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Calc'!$A$102:$U$102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Calc'!$A$101:$U$101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56577870"/>
        <c:axId val="39438783"/>
      </c:lineChart>
      <c:catAx>
        <c:axId val="5657787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39438783"/>
        <c:crosses val="autoZero"/>
        <c:auto val="1"/>
        <c:lblOffset val="100"/>
        <c:noMultiLvlLbl val="0"/>
      </c:catAx>
      <c:valAx>
        <c:axId val="3943878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657787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penalty costs for delayed shipment due to OOS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Calc'!$A$112:$U$112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Calc'!$A$110:$U$110</c:f>
              <c:numCache>
                <c:ptCount val="21"/>
                <c:pt idx="0">
                  <c:v>0.402977881116214</c:v>
                </c:pt>
                <c:pt idx="1">
                  <c:v>0.402961216044682</c:v>
                </c:pt>
                <c:pt idx="2">
                  <c:v>0.402944552351453</c:v>
                </c:pt>
                <c:pt idx="3">
                  <c:v>0.402927890036359</c:v>
                </c:pt>
                <c:pt idx="4">
                  <c:v>0.402911229099227</c:v>
                </c:pt>
                <c:pt idx="5">
                  <c:v>0.402894569539887</c:v>
                </c:pt>
                <c:pt idx="6">
                  <c:v>0.402877911358168</c:v>
                </c:pt>
                <c:pt idx="7">
                  <c:v>0.402861254553898</c:v>
                </c:pt>
                <c:pt idx="8">
                  <c:v>0.402844599126908</c:v>
                </c:pt>
                <c:pt idx="9">
                  <c:v>0.402827945077026</c:v>
                </c:pt>
                <c:pt idx="10">
                  <c:v>0.402811292404081</c:v>
                </c:pt>
                <c:pt idx="11">
                  <c:v>0.402794641107903</c:v>
                </c:pt>
                <c:pt idx="12">
                  <c:v>0.402777991188321</c:v>
                </c:pt>
                <c:pt idx="13">
                  <c:v>0.402761342645164</c:v>
                </c:pt>
                <c:pt idx="14">
                  <c:v>0.402744695478262</c:v>
                </c:pt>
                <c:pt idx="15">
                  <c:v>0.402728049687444</c:v>
                </c:pt>
                <c:pt idx="16">
                  <c:v>0.402711405272539</c:v>
                </c:pt>
                <c:pt idx="17">
                  <c:v>0.402694762233377</c:v>
                </c:pt>
                <c:pt idx="18">
                  <c:v>0.402678120569787</c:v>
                </c:pt>
                <c:pt idx="19">
                  <c:v>0.402661480281599</c:v>
                </c:pt>
                <c:pt idx="20">
                  <c:v>0.402644841368642</c:v>
                </c:pt>
              </c:numCache>
            </c:numRef>
          </c:val>
          <c:smooth val="0"/>
        </c:ser>
        <c:axId val="19404728"/>
        <c:axId val="40424825"/>
      </c:lineChart>
      <c:catAx>
        <c:axId val="1940472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40424825"/>
        <c:crosses val="autoZero"/>
        <c:auto val="1"/>
        <c:lblOffset val="100"/>
        <c:noMultiLvlLbl val="0"/>
      </c:catAx>
      <c:valAx>
        <c:axId val="40424825"/>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940472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penalty costs for delayed shipment due to OOS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Calc'!$A$112:$U$112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Calc'!$A$111:$U$111</c:f>
              <c:numCache>
                <c:ptCount val="21"/>
                <c:pt idx="0">
                  <c:v>216322935.1145</c:v>
                </c:pt>
                <c:pt idx="1">
                  <c:v>216334394.3985</c:v>
                </c:pt>
                <c:pt idx="2">
                  <c:v>216345853.6825</c:v>
                </c:pt>
                <c:pt idx="3">
                  <c:v>216357312.9665</c:v>
                </c:pt>
                <c:pt idx="4">
                  <c:v>216368772.2506</c:v>
                </c:pt>
                <c:pt idx="5">
                  <c:v>216380231.5346</c:v>
                </c:pt>
                <c:pt idx="6">
                  <c:v>216391690.8186</c:v>
                </c:pt>
                <c:pt idx="7">
                  <c:v>216403150.1026</c:v>
                </c:pt>
                <c:pt idx="8">
                  <c:v>216414609.3867</c:v>
                </c:pt>
                <c:pt idx="9">
                  <c:v>216426068.6707</c:v>
                </c:pt>
                <c:pt idx="10">
                  <c:v>216437527.9547</c:v>
                </c:pt>
                <c:pt idx="11">
                  <c:v>216448987.2387</c:v>
                </c:pt>
                <c:pt idx="12">
                  <c:v>216460446.5227</c:v>
                </c:pt>
                <c:pt idx="13">
                  <c:v>216471905.8068</c:v>
                </c:pt>
                <c:pt idx="14">
                  <c:v>216483365.0908</c:v>
                </c:pt>
                <c:pt idx="15">
                  <c:v>216494824.3748</c:v>
                </c:pt>
                <c:pt idx="16">
                  <c:v>216506283.6588</c:v>
                </c:pt>
                <c:pt idx="17">
                  <c:v>216517742.9429</c:v>
                </c:pt>
                <c:pt idx="18">
                  <c:v>216529202.2269</c:v>
                </c:pt>
                <c:pt idx="19">
                  <c:v>216540661.5109</c:v>
                </c:pt>
                <c:pt idx="20">
                  <c:v>216552120.7949</c:v>
                </c:pt>
              </c:numCache>
            </c:numRef>
          </c:val>
          <c:smooth val="0"/>
        </c:ser>
        <c:axId val="28279106"/>
        <c:axId val="53185363"/>
      </c:lineChart>
      <c:catAx>
        <c:axId val="2827910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3185363"/>
        <c:crosses val="autoZero"/>
        <c:auto val="1"/>
        <c:lblOffset val="100"/>
        <c:noMultiLvlLbl val="0"/>
      </c:catAx>
      <c:valAx>
        <c:axId val="5318536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827910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shrinkage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Calc'!$A$122:$U$122</c:f>
              <c:numCache>
                <c:ptCount val="21"/>
                <c:pt idx="0">
                  <c:v>0.5</c:v>
                </c:pt>
                <c:pt idx="1">
                  <c:v>0.55</c:v>
                </c:pt>
                <c:pt idx="2">
                  <c:v>0.6</c:v>
                </c:pt>
                <c:pt idx="3">
                  <c:v>0.65</c:v>
                </c:pt>
                <c:pt idx="4">
                  <c:v>0.7</c:v>
                </c:pt>
                <c:pt idx="5">
                  <c:v>0.75</c:v>
                </c:pt>
                <c:pt idx="6">
                  <c:v>0.8</c:v>
                </c:pt>
                <c:pt idx="7">
                  <c:v>0.85</c:v>
                </c:pt>
                <c:pt idx="8">
                  <c:v>0.9</c:v>
                </c:pt>
                <c:pt idx="9">
                  <c:v>0.95</c:v>
                </c:pt>
                <c:pt idx="10">
                  <c:v>1</c:v>
                </c:pt>
                <c:pt idx="11">
                  <c:v>1.05</c:v>
                </c:pt>
                <c:pt idx="12">
                  <c:v>1.1</c:v>
                </c:pt>
                <c:pt idx="13">
                  <c:v>1.15</c:v>
                </c:pt>
                <c:pt idx="14">
                  <c:v>1.2</c:v>
                </c:pt>
                <c:pt idx="15">
                  <c:v>1.25</c:v>
                </c:pt>
                <c:pt idx="16">
                  <c:v>1.3</c:v>
                </c:pt>
                <c:pt idx="17">
                  <c:v>1.35</c:v>
                </c:pt>
                <c:pt idx="18">
                  <c:v>1.4</c:v>
                </c:pt>
                <c:pt idx="19">
                  <c:v>1.45</c:v>
                </c:pt>
                <c:pt idx="20">
                  <c:v>1.5</c:v>
                </c:pt>
              </c:numCache>
            </c:numRef>
          </c:cat>
          <c:val>
            <c:numRef>
              <c:f>'Ranges Graphs Calc'!$A$120:$U$120</c:f>
              <c:numCache>
                <c:ptCount val="21"/>
                <c:pt idx="0">
                  <c:v>0.48376557446781</c:v>
                </c:pt>
                <c:pt idx="1">
                  <c:v>0.474234726515261</c:v>
                </c:pt>
                <c:pt idx="2">
                  <c:v>0.465072164479925</c:v>
                </c:pt>
                <c:pt idx="3">
                  <c:v>0.456256946316968</c:v>
                </c:pt>
                <c:pt idx="4">
                  <c:v>0.447769688231054</c:v>
                </c:pt>
                <c:pt idx="5">
                  <c:v>0.439592422390915</c:v>
                </c:pt>
                <c:pt idx="6">
                  <c:v>0.431708469954992</c:v>
                </c:pt>
                <c:pt idx="7">
                  <c:v>0.424102327519814</c:v>
                </c:pt>
                <c:pt idx="8">
                  <c:v>0.416759565364338</c:v>
                </c:pt>
                <c:pt idx="9">
                  <c:v>0.409666736084966</c:v>
                </c:pt>
                <c:pt idx="10">
                  <c:v>0.402811292404081</c:v>
                </c:pt>
                <c:pt idx="11">
                  <c:v>0.396181513095202</c:v>
                </c:pt>
                <c:pt idx="12">
                  <c:v>0.389766436104782</c:v>
                </c:pt>
                <c:pt idx="13">
                  <c:v>0.383555798067927</c:v>
                </c:pt>
                <c:pt idx="14">
                  <c:v>0.377539979516056</c:v>
                </c:pt>
                <c:pt idx="15">
                  <c:v>0.371709955161222</c:v>
                </c:pt>
                <c:pt idx="16">
                  <c:v>0.366057248716681</c:v>
                </c:pt>
                <c:pt idx="17">
                  <c:v>0.360573891778063</c:v>
                </c:pt>
                <c:pt idx="18">
                  <c:v>0.355252386345625</c:v>
                </c:pt>
                <c:pt idx="19">
                  <c:v>0.35008567061693</c:v>
                </c:pt>
                <c:pt idx="20">
                  <c:v>0.345067087721747</c:v>
                </c:pt>
              </c:numCache>
            </c:numRef>
          </c:val>
          <c:smooth val="0"/>
        </c:ser>
        <c:axId val="8906220"/>
        <c:axId val="13047117"/>
      </c:lineChart>
      <c:catAx>
        <c:axId val="890622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3047117"/>
        <c:crosses val="autoZero"/>
        <c:auto val="1"/>
        <c:lblOffset val="100"/>
        <c:noMultiLvlLbl val="0"/>
      </c:catAx>
      <c:valAx>
        <c:axId val="1304711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890622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shrinkage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Calc'!$A$122:$U$122</c:f>
              <c:numCache>
                <c:ptCount val="21"/>
                <c:pt idx="0">
                  <c:v>0.5</c:v>
                </c:pt>
                <c:pt idx="1">
                  <c:v>0.55</c:v>
                </c:pt>
                <c:pt idx="2">
                  <c:v>0.6</c:v>
                </c:pt>
                <c:pt idx="3">
                  <c:v>0.65</c:v>
                </c:pt>
                <c:pt idx="4">
                  <c:v>0.7</c:v>
                </c:pt>
                <c:pt idx="5">
                  <c:v>0.75</c:v>
                </c:pt>
                <c:pt idx="6">
                  <c:v>0.8</c:v>
                </c:pt>
                <c:pt idx="7">
                  <c:v>0.85</c:v>
                </c:pt>
                <c:pt idx="8">
                  <c:v>0.9</c:v>
                </c:pt>
                <c:pt idx="9">
                  <c:v>0.95</c:v>
                </c:pt>
                <c:pt idx="10">
                  <c:v>1</c:v>
                </c:pt>
                <c:pt idx="11">
                  <c:v>1.05</c:v>
                </c:pt>
                <c:pt idx="12">
                  <c:v>1.1</c:v>
                </c:pt>
                <c:pt idx="13">
                  <c:v>1.15</c:v>
                </c:pt>
                <c:pt idx="14">
                  <c:v>1.2</c:v>
                </c:pt>
                <c:pt idx="15">
                  <c:v>1.25</c:v>
                </c:pt>
                <c:pt idx="16">
                  <c:v>1.3</c:v>
                </c:pt>
                <c:pt idx="17">
                  <c:v>1.35</c:v>
                </c:pt>
                <c:pt idx="18">
                  <c:v>1.4</c:v>
                </c:pt>
                <c:pt idx="19">
                  <c:v>1.45</c:v>
                </c:pt>
                <c:pt idx="20">
                  <c:v>1.5</c:v>
                </c:pt>
              </c:numCache>
            </c:numRef>
          </c:cat>
          <c:val>
            <c:numRef>
              <c:f>'Ranges Graphs Calc'!$A$121:$U$121</c:f>
              <c:numCache>
                <c:ptCount val="21"/>
                <c:pt idx="0">
                  <c:v>170050346.2336</c:v>
                </c:pt>
                <c:pt idx="1">
                  <c:v>174689064.4058</c:v>
                </c:pt>
                <c:pt idx="2">
                  <c:v>179327782.5779</c:v>
                </c:pt>
                <c:pt idx="3">
                  <c:v>183966500.75</c:v>
                </c:pt>
                <c:pt idx="4">
                  <c:v>188605218.9221</c:v>
                </c:pt>
                <c:pt idx="5">
                  <c:v>193243937.0942</c:v>
                </c:pt>
                <c:pt idx="6">
                  <c:v>197882655.2663</c:v>
                </c:pt>
                <c:pt idx="7">
                  <c:v>202521373.4384</c:v>
                </c:pt>
                <c:pt idx="8">
                  <c:v>207160091.6105</c:v>
                </c:pt>
                <c:pt idx="9">
                  <c:v>211798809.7826</c:v>
                </c:pt>
                <c:pt idx="10">
                  <c:v>216437527.9547</c:v>
                </c:pt>
                <c:pt idx="11">
                  <c:v>221076246.1268</c:v>
                </c:pt>
                <c:pt idx="12">
                  <c:v>225714964.2989</c:v>
                </c:pt>
                <c:pt idx="13">
                  <c:v>230353682.471</c:v>
                </c:pt>
                <c:pt idx="14">
                  <c:v>234992400.6431</c:v>
                </c:pt>
                <c:pt idx="15">
                  <c:v>239631118.8152</c:v>
                </c:pt>
                <c:pt idx="16">
                  <c:v>244269836.9873</c:v>
                </c:pt>
                <c:pt idx="17">
                  <c:v>248908555.1594</c:v>
                </c:pt>
                <c:pt idx="18">
                  <c:v>253547273.3315</c:v>
                </c:pt>
                <c:pt idx="19">
                  <c:v>258185991.5036</c:v>
                </c:pt>
                <c:pt idx="20">
                  <c:v>262824709.6757</c:v>
                </c:pt>
              </c:numCache>
            </c:numRef>
          </c:val>
          <c:smooth val="0"/>
        </c:ser>
        <c:axId val="50315190"/>
        <c:axId val="50183527"/>
      </c:lineChart>
      <c:catAx>
        <c:axId val="5031519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0183527"/>
        <c:crosses val="autoZero"/>
        <c:auto val="1"/>
        <c:lblOffset val="100"/>
        <c:noMultiLvlLbl val="0"/>
      </c:catAx>
      <c:valAx>
        <c:axId val="5018352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031519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expediture for defensive merchandising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Calc'!$A$132:$U$132</c:f>
              <c:numCache>
                <c:ptCount val="2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numCache>
            </c:numRef>
          </c:cat>
          <c:val>
            <c:numRef>
              <c:f>'Ranges Graphs Calc'!$A$130:$U$130</c:f>
              <c:numCache>
                <c:ptCount val="21"/>
                <c:pt idx="0">
                  <c:v>0.402857923358323</c:v>
                </c:pt>
                <c:pt idx="1">
                  <c:v>0.402853259777069</c:v>
                </c:pt>
                <c:pt idx="2">
                  <c:v>0.402848596303787</c:v>
                </c:pt>
                <c:pt idx="3">
                  <c:v>0.402843932938473</c:v>
                </c:pt>
                <c:pt idx="4">
                  <c:v>0.402839269681124</c:v>
                </c:pt>
                <c:pt idx="5">
                  <c:v>0.402834606531736</c:v>
                </c:pt>
                <c:pt idx="6">
                  <c:v>0.402829943490306</c:v>
                </c:pt>
                <c:pt idx="7">
                  <c:v>0.402825280556829</c:v>
                </c:pt>
                <c:pt idx="8">
                  <c:v>0.402820617731301</c:v>
                </c:pt>
                <c:pt idx="9">
                  <c:v>0.40281595501372</c:v>
                </c:pt>
                <c:pt idx="10">
                  <c:v>0.402811292404081</c:v>
                </c:pt>
                <c:pt idx="11">
                  <c:v>0.40280662990238</c:v>
                </c:pt>
                <c:pt idx="12">
                  <c:v>0.402801967508614</c:v>
                </c:pt>
                <c:pt idx="13">
                  <c:v>0.40279730522278</c:v>
                </c:pt>
                <c:pt idx="14">
                  <c:v>0.402792643044872</c:v>
                </c:pt>
                <c:pt idx="15">
                  <c:v>0.402787980974888</c:v>
                </c:pt>
                <c:pt idx="16">
                  <c:v>0.402783319012824</c:v>
                </c:pt>
                <c:pt idx="17">
                  <c:v>0.402778657158676</c:v>
                </c:pt>
                <c:pt idx="18">
                  <c:v>0.40277399541244</c:v>
                </c:pt>
                <c:pt idx="19">
                  <c:v>0.402769333774112</c:v>
                </c:pt>
                <c:pt idx="20">
                  <c:v>0.40276467224369</c:v>
                </c:pt>
              </c:numCache>
            </c:numRef>
          </c:val>
          <c:smooth val="0"/>
        </c:ser>
        <c:axId val="48998560"/>
        <c:axId val="38333857"/>
      </c:lineChart>
      <c:catAx>
        <c:axId val="4899856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38333857"/>
        <c:crosses val="autoZero"/>
        <c:auto val="1"/>
        <c:lblOffset val="100"/>
        <c:noMultiLvlLbl val="0"/>
      </c:catAx>
      <c:valAx>
        <c:axId val="3833385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899856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expediture for defensive merchandising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Calc'!$A$132:$U$132</c:f>
              <c:numCache>
                <c:ptCount val="2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numCache>
            </c:numRef>
          </c:cat>
          <c:val>
            <c:numRef>
              <c:f>'Ranges Graphs Calc'!$A$131:$U$131</c:f>
              <c:numCache>
                <c:ptCount val="21"/>
                <c:pt idx="0">
                  <c:v>216405441.9594</c:v>
                </c:pt>
                <c:pt idx="1">
                  <c:v>216408650.559</c:v>
                </c:pt>
                <c:pt idx="2">
                  <c:v>216411859.1585</c:v>
                </c:pt>
                <c:pt idx="3">
                  <c:v>216415067.758</c:v>
                </c:pt>
                <c:pt idx="4">
                  <c:v>216418276.3575</c:v>
                </c:pt>
                <c:pt idx="5">
                  <c:v>216421484.9571</c:v>
                </c:pt>
                <c:pt idx="6">
                  <c:v>216424693.5566</c:v>
                </c:pt>
                <c:pt idx="7">
                  <c:v>216427902.1561</c:v>
                </c:pt>
                <c:pt idx="8">
                  <c:v>216431110.7556</c:v>
                </c:pt>
                <c:pt idx="9">
                  <c:v>216434319.3552</c:v>
                </c:pt>
                <c:pt idx="10">
                  <c:v>216437527.9547</c:v>
                </c:pt>
                <c:pt idx="11">
                  <c:v>216440736.5542</c:v>
                </c:pt>
                <c:pt idx="12">
                  <c:v>216443945.1537</c:v>
                </c:pt>
                <c:pt idx="13">
                  <c:v>216447153.7533</c:v>
                </c:pt>
                <c:pt idx="14">
                  <c:v>216450362.3528</c:v>
                </c:pt>
                <c:pt idx="15">
                  <c:v>216453570.9523</c:v>
                </c:pt>
                <c:pt idx="16">
                  <c:v>216456779.5519</c:v>
                </c:pt>
                <c:pt idx="17">
                  <c:v>216459988.1514</c:v>
                </c:pt>
                <c:pt idx="18">
                  <c:v>216463196.7509</c:v>
                </c:pt>
                <c:pt idx="19">
                  <c:v>216466405.3504</c:v>
                </c:pt>
                <c:pt idx="20">
                  <c:v>216469613.95</c:v>
                </c:pt>
              </c:numCache>
            </c:numRef>
          </c:val>
          <c:smooth val="0"/>
        </c:ser>
        <c:axId val="9460394"/>
        <c:axId val="18034683"/>
      </c:lineChart>
      <c:catAx>
        <c:axId val="946039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18034683"/>
        <c:crosses val="autoZero"/>
        <c:auto val="1"/>
        <c:lblOffset val="100"/>
        <c:noMultiLvlLbl val="0"/>
      </c:catAx>
      <c:valAx>
        <c:axId val="1803468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946039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Magnitude of diversion as % of total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Calc'!$A$142:$U$142</c:f>
              <c:numCache>
                <c:ptCount val="21"/>
                <c:pt idx="0">
                  <c:v>1</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numCache>
            </c:numRef>
          </c:cat>
          <c:val>
            <c:numRef>
              <c:f>'Ranges Graphs Calc'!$A$140:$U$140</c:f>
              <c:numCache>
                <c:ptCount val="21"/>
                <c:pt idx="0">
                  <c:v>0.403712511385755</c:v>
                </c:pt>
                <c:pt idx="1">
                  <c:v>0.40362220805956</c:v>
                </c:pt>
                <c:pt idx="2">
                  <c:v>0.403531945122835</c:v>
                </c:pt>
                <c:pt idx="3">
                  <c:v>0.403441722548488</c:v>
                </c:pt>
                <c:pt idx="4">
                  <c:v>0.403351540309453</c:v>
                </c:pt>
                <c:pt idx="5">
                  <c:v>0.403261398378686</c:v>
                </c:pt>
                <c:pt idx="6">
                  <c:v>0.40317129672917</c:v>
                </c:pt>
                <c:pt idx="7">
                  <c:v>0.403081235333909</c:v>
                </c:pt>
                <c:pt idx="8">
                  <c:v>0.402991214165934</c:v>
                </c:pt>
                <c:pt idx="9">
                  <c:v>0.402901233198299</c:v>
                </c:pt>
                <c:pt idx="10">
                  <c:v>0.402811292404081</c:v>
                </c:pt>
                <c:pt idx="11">
                  <c:v>0.402721391756382</c:v>
                </c:pt>
                <c:pt idx="12">
                  <c:v>0.402631531228328</c:v>
                </c:pt>
                <c:pt idx="13">
                  <c:v>0.40254171079307</c:v>
                </c:pt>
                <c:pt idx="14">
                  <c:v>0.40245193042378</c:v>
                </c:pt>
                <c:pt idx="15">
                  <c:v>0.402362190093657</c:v>
                </c:pt>
                <c:pt idx="16">
                  <c:v>0.402272489775923</c:v>
                </c:pt>
                <c:pt idx="17">
                  <c:v>0.402182829443823</c:v>
                </c:pt>
                <c:pt idx="18">
                  <c:v>0.402093209070626</c:v>
                </c:pt>
                <c:pt idx="19">
                  <c:v>0.402003628629626</c:v>
                </c:pt>
                <c:pt idx="20">
                  <c:v>0.401914088094139</c:v>
                </c:pt>
              </c:numCache>
            </c:numRef>
          </c:val>
          <c:smooth val="0"/>
        </c:ser>
        <c:axId val="28094420"/>
        <c:axId val="51523189"/>
      </c:lineChart>
      <c:catAx>
        <c:axId val="2809442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1523189"/>
        <c:crosses val="autoZero"/>
        <c:auto val="1"/>
        <c:lblOffset val="100"/>
        <c:noMultiLvlLbl val="0"/>
      </c:catAx>
      <c:valAx>
        <c:axId val="5152318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809442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Global variation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Calc'!$A$52:$U$52</c:f>
              <c:num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'Ranges Graphs Calc'!$A$51:$U$51</c:f>
              <c:numCache>
                <c:ptCount val="21"/>
                <c:pt idx="0">
                  <c:v>76427427.0201</c:v>
                </c:pt>
                <c:pt idx="1">
                  <c:v>89981817.9236</c:v>
                </c:pt>
                <c:pt idx="2">
                  <c:v>103625685.6047</c:v>
                </c:pt>
                <c:pt idx="3">
                  <c:v>117362694.4594</c:v>
                </c:pt>
                <c:pt idx="4">
                  <c:v>131196508.9273</c:v>
                </c:pt>
                <c:pt idx="5">
                  <c:v>145130793.4925</c:v>
                </c:pt>
                <c:pt idx="6">
                  <c:v>159169212.6842</c:v>
                </c:pt>
                <c:pt idx="7">
                  <c:v>173315431.0783</c:v>
                </c:pt>
                <c:pt idx="8">
                  <c:v>187573113.2984</c:v>
                </c:pt>
                <c:pt idx="9">
                  <c:v>201945924.0165</c:v>
                </c:pt>
                <c:pt idx="10">
                  <c:v>216437527.9547</c:v>
                </c:pt>
                <c:pt idx="11">
                  <c:v>231051589.886</c:v>
                </c:pt>
                <c:pt idx="12">
                  <c:v>245791774.6358</c:v>
                </c:pt>
                <c:pt idx="13">
                  <c:v>260661747.083</c:v>
                </c:pt>
                <c:pt idx="14">
                  <c:v>275665172.1612</c:v>
                </c:pt>
                <c:pt idx="15">
                  <c:v>290805714.8605</c:v>
                </c:pt>
                <c:pt idx="16">
                  <c:v>306087040.2282</c:v>
                </c:pt>
                <c:pt idx="17">
                  <c:v>321512813.3711</c:v>
                </c:pt>
                <c:pt idx="18">
                  <c:v>337086699.4561</c:v>
                </c:pt>
                <c:pt idx="19">
                  <c:v>352812363.7122</c:v>
                </c:pt>
                <c:pt idx="20">
                  <c:v>368693471.4323</c:v>
                </c:pt>
              </c:numCache>
            </c:numRef>
          </c:val>
          <c:smooth val="0"/>
        </c:ser>
        <c:axId val="1057034"/>
        <c:axId val="9513307"/>
      </c:lineChart>
      <c:catAx>
        <c:axId val="105703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9513307"/>
        <c:crosses val="autoZero"/>
        <c:auto val="1"/>
        <c:lblOffset val="100"/>
        <c:noMultiLvlLbl val="0"/>
      </c:catAx>
      <c:valAx>
        <c:axId val="951330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105703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Magnitude of diversion as % of total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Calc'!$A$142:$U$142</c:f>
              <c:numCache>
                <c:ptCount val="21"/>
                <c:pt idx="0">
                  <c:v>1</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numCache>
            </c:numRef>
          </c:cat>
          <c:val>
            <c:numRef>
              <c:f>'Ranges Graphs Calc'!$A$141:$U$141</c:f>
              <c:numCache>
                <c:ptCount val="21"/>
                <c:pt idx="0">
                  <c:v>215818726.6175</c:v>
                </c:pt>
                <c:pt idx="1">
                  <c:v>215880606.7512</c:v>
                </c:pt>
                <c:pt idx="2">
                  <c:v>215942486.8849</c:v>
                </c:pt>
                <c:pt idx="3">
                  <c:v>216004367.0187</c:v>
                </c:pt>
                <c:pt idx="4">
                  <c:v>216066247.1524</c:v>
                </c:pt>
                <c:pt idx="5">
                  <c:v>216128127.2861</c:v>
                </c:pt>
                <c:pt idx="6">
                  <c:v>216190007.4198</c:v>
                </c:pt>
                <c:pt idx="7">
                  <c:v>216251887.5535</c:v>
                </c:pt>
                <c:pt idx="8">
                  <c:v>216313767.6873</c:v>
                </c:pt>
                <c:pt idx="9">
                  <c:v>216375647.821</c:v>
                </c:pt>
                <c:pt idx="10">
                  <c:v>216437527.9547</c:v>
                </c:pt>
                <c:pt idx="11">
                  <c:v>216499408.0884</c:v>
                </c:pt>
                <c:pt idx="12">
                  <c:v>216561288.2221</c:v>
                </c:pt>
                <c:pt idx="13">
                  <c:v>216623168.3559</c:v>
                </c:pt>
                <c:pt idx="14">
                  <c:v>216685048.4896</c:v>
                </c:pt>
                <c:pt idx="15">
                  <c:v>216746928.6233</c:v>
                </c:pt>
                <c:pt idx="16">
                  <c:v>216808808.757</c:v>
                </c:pt>
                <c:pt idx="17">
                  <c:v>216870688.8907</c:v>
                </c:pt>
                <c:pt idx="18">
                  <c:v>216932569.0244</c:v>
                </c:pt>
                <c:pt idx="19">
                  <c:v>216994449.1582</c:v>
                </c:pt>
                <c:pt idx="20">
                  <c:v>217056329.2919</c:v>
                </c:pt>
              </c:numCache>
            </c:numRef>
          </c:val>
          <c:smooth val="0"/>
        </c:ser>
        <c:axId val="61055518"/>
        <c:axId val="12628751"/>
      </c:lineChart>
      <c:catAx>
        <c:axId val="6105551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2628751"/>
        <c:crosses val="autoZero"/>
        <c:auto val="1"/>
        <c:lblOffset val="100"/>
        <c:noMultiLvlLbl val="0"/>
      </c:catAx>
      <c:valAx>
        <c:axId val="1262875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105551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margin lost due to diversion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Calc'!$A$152:$U$152</c:f>
              <c:numCache>
                <c:ptCount val="21"/>
                <c:pt idx="0">
                  <c:v>10</c:v>
                </c:pt>
                <c:pt idx="1">
                  <c:v>11.5</c:v>
                </c:pt>
                <c:pt idx="2">
                  <c:v>13</c:v>
                </c:pt>
                <c:pt idx="3">
                  <c:v>14.5</c:v>
                </c:pt>
                <c:pt idx="4">
                  <c:v>16</c:v>
                </c:pt>
                <c:pt idx="5">
                  <c:v>17.5</c:v>
                </c:pt>
                <c:pt idx="6">
                  <c:v>19</c:v>
                </c:pt>
                <c:pt idx="7">
                  <c:v>20.5</c:v>
                </c:pt>
                <c:pt idx="8">
                  <c:v>22</c:v>
                </c:pt>
                <c:pt idx="9">
                  <c:v>23.5</c:v>
                </c:pt>
                <c:pt idx="10">
                  <c:v>25</c:v>
                </c:pt>
                <c:pt idx="11">
                  <c:v>26.5</c:v>
                </c:pt>
                <c:pt idx="12">
                  <c:v>28</c:v>
                </c:pt>
                <c:pt idx="13">
                  <c:v>29.5</c:v>
                </c:pt>
                <c:pt idx="14">
                  <c:v>31</c:v>
                </c:pt>
                <c:pt idx="15">
                  <c:v>32.5</c:v>
                </c:pt>
                <c:pt idx="16">
                  <c:v>34</c:v>
                </c:pt>
                <c:pt idx="17">
                  <c:v>35.5</c:v>
                </c:pt>
                <c:pt idx="18">
                  <c:v>37</c:v>
                </c:pt>
                <c:pt idx="19">
                  <c:v>38.5</c:v>
                </c:pt>
                <c:pt idx="20">
                  <c:v>40</c:v>
                </c:pt>
              </c:numCache>
            </c:numRef>
          </c:cat>
          <c:val>
            <c:numRef>
              <c:f>'Ranges Graphs Calc'!$A$150:$U$150</c:f>
              <c:numCache>
                <c:ptCount val="21"/>
                <c:pt idx="0">
                  <c:v>0.40443639527516</c:v>
                </c:pt>
                <c:pt idx="1">
                  <c:v>0.404273295157301</c:v>
                </c:pt>
                <c:pt idx="2">
                  <c:v>0.404110326535643</c:v>
                </c:pt>
                <c:pt idx="3">
                  <c:v>0.403947489251228</c:v>
                </c:pt>
                <c:pt idx="4">
                  <c:v>0.403784783145349</c:v>
                </c:pt>
                <c:pt idx="5">
                  <c:v>0.40362220805956</c:v>
                </c:pt>
                <c:pt idx="6">
                  <c:v>0.403459763835667</c:v>
                </c:pt>
                <c:pt idx="7">
                  <c:v>0.40329745031573</c:v>
                </c:pt>
                <c:pt idx="8">
                  <c:v>0.403135267342066</c:v>
                </c:pt>
                <c:pt idx="9">
                  <c:v>0.402973214757242</c:v>
                </c:pt>
                <c:pt idx="10">
                  <c:v>0.402811292404081</c:v>
                </c:pt>
                <c:pt idx="11">
                  <c:v>0.402649500125657</c:v>
                </c:pt>
                <c:pt idx="12">
                  <c:v>0.402487837765296</c:v>
                </c:pt>
                <c:pt idx="13">
                  <c:v>0.402326305166576</c:v>
                </c:pt>
                <c:pt idx="14">
                  <c:v>0.402164902173326</c:v>
                </c:pt>
                <c:pt idx="15">
                  <c:v>0.402003628629626</c:v>
                </c:pt>
                <c:pt idx="16">
                  <c:v>0.401842484379804</c:v>
                </c:pt>
                <c:pt idx="17">
                  <c:v>0.40168146926844</c:v>
                </c:pt>
                <c:pt idx="18">
                  <c:v>0.401520583140362</c:v>
                </c:pt>
                <c:pt idx="19">
                  <c:v>0.401359825840645</c:v>
                </c:pt>
                <c:pt idx="20">
                  <c:v>0.401199197214615</c:v>
                </c:pt>
              </c:numCache>
            </c:numRef>
          </c:val>
          <c:smooth val="0"/>
        </c:ser>
        <c:axId val="46549896"/>
        <c:axId val="16295881"/>
      </c:lineChart>
      <c:catAx>
        <c:axId val="4654989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6295881"/>
        <c:crosses val="autoZero"/>
        <c:auto val="1"/>
        <c:lblOffset val="100"/>
        <c:noMultiLvlLbl val="0"/>
      </c:catAx>
      <c:valAx>
        <c:axId val="1629588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654989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margin lost due to diversion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Calc'!$A$152:$U$152</c:f>
              <c:numCache>
                <c:ptCount val="21"/>
                <c:pt idx="0">
                  <c:v>10</c:v>
                </c:pt>
                <c:pt idx="1">
                  <c:v>11.5</c:v>
                </c:pt>
                <c:pt idx="2">
                  <c:v>13</c:v>
                </c:pt>
                <c:pt idx="3">
                  <c:v>14.5</c:v>
                </c:pt>
                <c:pt idx="4">
                  <c:v>16</c:v>
                </c:pt>
                <c:pt idx="5">
                  <c:v>17.5</c:v>
                </c:pt>
                <c:pt idx="6">
                  <c:v>19</c:v>
                </c:pt>
                <c:pt idx="7">
                  <c:v>20.5</c:v>
                </c:pt>
                <c:pt idx="8">
                  <c:v>22</c:v>
                </c:pt>
                <c:pt idx="9">
                  <c:v>23.5</c:v>
                </c:pt>
                <c:pt idx="10">
                  <c:v>25</c:v>
                </c:pt>
                <c:pt idx="11">
                  <c:v>26.5</c:v>
                </c:pt>
                <c:pt idx="12">
                  <c:v>28</c:v>
                </c:pt>
                <c:pt idx="13">
                  <c:v>29.5</c:v>
                </c:pt>
                <c:pt idx="14">
                  <c:v>31</c:v>
                </c:pt>
                <c:pt idx="15">
                  <c:v>32.5</c:v>
                </c:pt>
                <c:pt idx="16">
                  <c:v>34</c:v>
                </c:pt>
                <c:pt idx="17">
                  <c:v>35.5</c:v>
                </c:pt>
                <c:pt idx="18">
                  <c:v>37</c:v>
                </c:pt>
                <c:pt idx="19">
                  <c:v>38.5</c:v>
                </c:pt>
                <c:pt idx="20">
                  <c:v>40</c:v>
                </c:pt>
              </c:numCache>
            </c:numRef>
          </c:cat>
          <c:val>
            <c:numRef>
              <c:f>'Ranges Graphs Calc'!$A$151:$U$151</c:f>
              <c:numCache>
                <c:ptCount val="21"/>
                <c:pt idx="0">
                  <c:v>215323685.5478</c:v>
                </c:pt>
                <c:pt idx="1">
                  <c:v>215435069.7885</c:v>
                </c:pt>
                <c:pt idx="2">
                  <c:v>215546454.0291</c:v>
                </c:pt>
                <c:pt idx="3">
                  <c:v>215657838.2698</c:v>
                </c:pt>
                <c:pt idx="4">
                  <c:v>215769222.5105</c:v>
                </c:pt>
                <c:pt idx="5">
                  <c:v>215880606.7512</c:v>
                </c:pt>
                <c:pt idx="6">
                  <c:v>215991990.9919</c:v>
                </c:pt>
                <c:pt idx="7">
                  <c:v>216103375.2326</c:v>
                </c:pt>
                <c:pt idx="8">
                  <c:v>216214759.4733</c:v>
                </c:pt>
                <c:pt idx="9">
                  <c:v>216326143.714</c:v>
                </c:pt>
                <c:pt idx="10">
                  <c:v>216437527.9547</c:v>
                </c:pt>
                <c:pt idx="11">
                  <c:v>216548912.1954</c:v>
                </c:pt>
                <c:pt idx="12">
                  <c:v>216660296.4361</c:v>
                </c:pt>
                <c:pt idx="13">
                  <c:v>216771680.6768</c:v>
                </c:pt>
                <c:pt idx="14">
                  <c:v>216883064.9175</c:v>
                </c:pt>
                <c:pt idx="15">
                  <c:v>216994449.1582</c:v>
                </c:pt>
                <c:pt idx="16">
                  <c:v>217105833.3989</c:v>
                </c:pt>
                <c:pt idx="17">
                  <c:v>217217217.6396</c:v>
                </c:pt>
                <c:pt idx="18">
                  <c:v>217328601.8802</c:v>
                </c:pt>
                <c:pt idx="19">
                  <c:v>217439986.1209</c:v>
                </c:pt>
                <c:pt idx="20">
                  <c:v>217551370.3616</c:v>
                </c:pt>
              </c:numCache>
            </c:numRef>
          </c:val>
          <c:smooth val="0"/>
        </c:ser>
        <c:axId val="12445202"/>
        <c:axId val="44897955"/>
      </c:lineChart>
      <c:catAx>
        <c:axId val="1244520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4897955"/>
        <c:crosses val="autoZero"/>
        <c:auto val="1"/>
        <c:lblOffset val="100"/>
        <c:noMultiLvlLbl val="0"/>
      </c:catAx>
      <c:valAx>
        <c:axId val="44897955"/>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1244520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counterfeit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Calc'!$A$162:$U$162</c:f>
              <c:numCache>
                <c:ptCount val="21"/>
                <c:pt idx="0">
                  <c:v>0.3</c:v>
                </c:pt>
                <c:pt idx="1">
                  <c:v>0.32</c:v>
                </c:pt>
                <c:pt idx="2">
                  <c:v>0.34</c:v>
                </c:pt>
                <c:pt idx="3">
                  <c:v>0.36</c:v>
                </c:pt>
                <c:pt idx="4">
                  <c:v>0.38</c:v>
                </c:pt>
                <c:pt idx="5">
                  <c:v>0.4</c:v>
                </c:pt>
                <c:pt idx="6">
                  <c:v>0.42</c:v>
                </c:pt>
                <c:pt idx="7">
                  <c:v>0.44</c:v>
                </c:pt>
                <c:pt idx="8">
                  <c:v>0.46</c:v>
                </c:pt>
                <c:pt idx="9">
                  <c:v>0.48</c:v>
                </c:pt>
                <c:pt idx="10">
                  <c:v>0.5</c:v>
                </c:pt>
                <c:pt idx="11">
                  <c:v>0.52</c:v>
                </c:pt>
                <c:pt idx="12">
                  <c:v>0.54</c:v>
                </c:pt>
                <c:pt idx="13">
                  <c:v>0.56</c:v>
                </c:pt>
                <c:pt idx="14">
                  <c:v>0.58</c:v>
                </c:pt>
                <c:pt idx="15">
                  <c:v>0.6</c:v>
                </c:pt>
                <c:pt idx="16">
                  <c:v>0.62</c:v>
                </c:pt>
                <c:pt idx="17">
                  <c:v>0.64</c:v>
                </c:pt>
                <c:pt idx="18">
                  <c:v>0.66</c:v>
                </c:pt>
                <c:pt idx="19">
                  <c:v>0.68</c:v>
                </c:pt>
                <c:pt idx="20">
                  <c:v>0.7</c:v>
                </c:pt>
              </c:numCache>
            </c:numRef>
          </c:cat>
          <c:val>
            <c:numRef>
              <c:f>'Ranges Graphs Calc'!$A$160:$U$160</c:f>
              <c:numCache>
                <c:ptCount val="21"/>
                <c:pt idx="0">
                  <c:v>0.40413510028063</c:v>
                </c:pt>
                <c:pt idx="1">
                  <c:v>0.404002328068399</c:v>
                </c:pt>
                <c:pt idx="2">
                  <c:v>0.403869643067948</c:v>
                </c:pt>
                <c:pt idx="3">
                  <c:v>0.403737045193377</c:v>
                </c:pt>
                <c:pt idx="4">
                  <c:v>0.403604534358899</c:v>
                </c:pt>
                <c:pt idx="5">
                  <c:v>0.40347211047884</c:v>
                </c:pt>
                <c:pt idx="6">
                  <c:v>0.403339773467637</c:v>
                </c:pt>
                <c:pt idx="7">
                  <c:v>0.403207523239842</c:v>
                </c:pt>
                <c:pt idx="8">
                  <c:v>0.403075359710116</c:v>
                </c:pt>
                <c:pt idx="9">
                  <c:v>0.402943282793234</c:v>
                </c:pt>
                <c:pt idx="10">
                  <c:v>0.402811292404081</c:v>
                </c:pt>
                <c:pt idx="11">
                  <c:v>0.402679388457655</c:v>
                </c:pt>
                <c:pt idx="12">
                  <c:v>0.402547570869063</c:v>
                </c:pt>
                <c:pt idx="13">
                  <c:v>0.402415839553527</c:v>
                </c:pt>
                <c:pt idx="14">
                  <c:v>0.402284194426377</c:v>
                </c:pt>
                <c:pt idx="15">
                  <c:v>0.402152635403053</c:v>
                </c:pt>
                <c:pt idx="16">
                  <c:v>0.402021162399109</c:v>
                </c:pt>
                <c:pt idx="17">
                  <c:v>0.401889775330206</c:v>
                </c:pt>
                <c:pt idx="18">
                  <c:v>0.401758474112117</c:v>
                </c:pt>
                <c:pt idx="19">
                  <c:v>0.401627258660725</c:v>
                </c:pt>
                <c:pt idx="20">
                  <c:v>0.401496128892022</c:v>
                </c:pt>
              </c:numCache>
            </c:numRef>
          </c:val>
          <c:smooth val="0"/>
        </c:ser>
        <c:axId val="1428412"/>
        <c:axId val="12855709"/>
      </c:lineChart>
      <c:catAx>
        <c:axId val="142841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2855709"/>
        <c:crosses val="autoZero"/>
        <c:auto val="1"/>
        <c:lblOffset val="100"/>
        <c:noMultiLvlLbl val="0"/>
      </c:catAx>
      <c:valAx>
        <c:axId val="1285570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42841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counterfeit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Calc'!$A$162:$U$162</c:f>
              <c:numCache>
                <c:ptCount val="21"/>
                <c:pt idx="0">
                  <c:v>0.3</c:v>
                </c:pt>
                <c:pt idx="1">
                  <c:v>0.32</c:v>
                </c:pt>
                <c:pt idx="2">
                  <c:v>0.34</c:v>
                </c:pt>
                <c:pt idx="3">
                  <c:v>0.36</c:v>
                </c:pt>
                <c:pt idx="4">
                  <c:v>0.38</c:v>
                </c:pt>
                <c:pt idx="5">
                  <c:v>0.4</c:v>
                </c:pt>
                <c:pt idx="6">
                  <c:v>0.42</c:v>
                </c:pt>
                <c:pt idx="7">
                  <c:v>0.44</c:v>
                </c:pt>
                <c:pt idx="8">
                  <c:v>0.46</c:v>
                </c:pt>
                <c:pt idx="9">
                  <c:v>0.48</c:v>
                </c:pt>
                <c:pt idx="10">
                  <c:v>0.5</c:v>
                </c:pt>
                <c:pt idx="11">
                  <c:v>0.52</c:v>
                </c:pt>
                <c:pt idx="12">
                  <c:v>0.54</c:v>
                </c:pt>
                <c:pt idx="13">
                  <c:v>0.56</c:v>
                </c:pt>
                <c:pt idx="14">
                  <c:v>0.58</c:v>
                </c:pt>
                <c:pt idx="15">
                  <c:v>0.6</c:v>
                </c:pt>
                <c:pt idx="16">
                  <c:v>0.62</c:v>
                </c:pt>
                <c:pt idx="17">
                  <c:v>0.64</c:v>
                </c:pt>
                <c:pt idx="18">
                  <c:v>0.66</c:v>
                </c:pt>
                <c:pt idx="19">
                  <c:v>0.68</c:v>
                </c:pt>
                <c:pt idx="20">
                  <c:v>0.7</c:v>
                </c:pt>
              </c:numCache>
            </c:numRef>
          </c:cat>
          <c:val>
            <c:numRef>
              <c:f>'Ranges Graphs Calc'!$A$161:$U$161</c:f>
              <c:numCache>
                <c:ptCount val="21"/>
                <c:pt idx="0">
                  <c:v>215529516.116</c:v>
                </c:pt>
                <c:pt idx="1">
                  <c:v>215620317.2999</c:v>
                </c:pt>
                <c:pt idx="2">
                  <c:v>215711118.4837</c:v>
                </c:pt>
                <c:pt idx="3">
                  <c:v>215801919.6676</c:v>
                </c:pt>
                <c:pt idx="4">
                  <c:v>215892720.8515</c:v>
                </c:pt>
                <c:pt idx="5">
                  <c:v>215983522.0353</c:v>
                </c:pt>
                <c:pt idx="6">
                  <c:v>216074323.2192</c:v>
                </c:pt>
                <c:pt idx="7">
                  <c:v>216165124.4031</c:v>
                </c:pt>
                <c:pt idx="8">
                  <c:v>216255925.587</c:v>
                </c:pt>
                <c:pt idx="9">
                  <c:v>216346726.7708</c:v>
                </c:pt>
                <c:pt idx="10">
                  <c:v>216437527.9547</c:v>
                </c:pt>
                <c:pt idx="11">
                  <c:v>216528329.1386</c:v>
                </c:pt>
                <c:pt idx="12">
                  <c:v>216619130.3224</c:v>
                </c:pt>
                <c:pt idx="13">
                  <c:v>216709931.5063</c:v>
                </c:pt>
                <c:pt idx="14">
                  <c:v>216800732.6902</c:v>
                </c:pt>
                <c:pt idx="15">
                  <c:v>216891533.874</c:v>
                </c:pt>
                <c:pt idx="16">
                  <c:v>216982335.0579</c:v>
                </c:pt>
                <c:pt idx="17">
                  <c:v>217073136.2418</c:v>
                </c:pt>
                <c:pt idx="18">
                  <c:v>217163937.4257</c:v>
                </c:pt>
                <c:pt idx="19">
                  <c:v>217254738.6095</c:v>
                </c:pt>
                <c:pt idx="20">
                  <c:v>217345539.7934</c:v>
                </c:pt>
              </c:numCache>
            </c:numRef>
          </c:val>
          <c:smooth val="0"/>
        </c:ser>
        <c:axId val="48592518"/>
        <c:axId val="34679479"/>
      </c:lineChart>
      <c:catAx>
        <c:axId val="4859251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4679479"/>
        <c:crosses val="autoZero"/>
        <c:auto val="1"/>
        <c:lblOffset val="100"/>
        <c:noMultiLvlLbl val="0"/>
      </c:catAx>
      <c:valAx>
        <c:axId val="3467947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859251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deduction cost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Calc'!$A$172:$U$172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Calc'!$A$170:$U$170</c:f>
              <c:numCache>
                <c:ptCount val="21"/>
                <c:pt idx="0">
                  <c:v>0.406072729864975</c:v>
                </c:pt>
                <c:pt idx="1">
                  <c:v>0.405744211425785</c:v>
                </c:pt>
                <c:pt idx="2">
                  <c:v>0.405416224108808</c:v>
                </c:pt>
                <c:pt idx="3">
                  <c:v>0.405088766627068</c:v>
                </c:pt>
                <c:pt idx="4">
                  <c:v>0.404761837697748</c:v>
                </c:pt>
                <c:pt idx="5">
                  <c:v>0.404435436042167</c:v>
                </c:pt>
                <c:pt idx="6">
                  <c:v>0.404109560385766</c:v>
                </c:pt>
                <c:pt idx="7">
                  <c:v>0.403784209458089</c:v>
                </c:pt>
                <c:pt idx="8">
                  <c:v>0.40345938199277</c:v>
                </c:pt>
                <c:pt idx="9">
                  <c:v>0.403135076727514</c:v>
                </c:pt>
                <c:pt idx="10">
                  <c:v>0.402811292404081</c:v>
                </c:pt>
                <c:pt idx="11">
                  <c:v>0.40248802776827</c:v>
                </c:pt>
                <c:pt idx="12">
                  <c:v>0.402165281569904</c:v>
                </c:pt>
                <c:pt idx="13">
                  <c:v>0.401843052562811</c:v>
                </c:pt>
                <c:pt idx="14">
                  <c:v>0.401521339504811</c:v>
                </c:pt>
                <c:pt idx="15">
                  <c:v>0.401200141157698</c:v>
                </c:pt>
                <c:pt idx="16">
                  <c:v>0.400879456287226</c:v>
                </c:pt>
                <c:pt idx="17">
                  <c:v>0.400559283663091</c:v>
                </c:pt>
                <c:pt idx="18">
                  <c:v>0.400239622058917</c:v>
                </c:pt>
                <c:pt idx="19">
                  <c:v>0.399920470252237</c:v>
                </c:pt>
                <c:pt idx="20">
                  <c:v>0.399601827024485</c:v>
                </c:pt>
              </c:numCache>
            </c:numRef>
          </c:val>
          <c:smooth val="0"/>
        </c:ser>
        <c:axId val="43679856"/>
        <c:axId val="57574385"/>
      </c:lineChart>
      <c:catAx>
        <c:axId val="4367985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7574385"/>
        <c:crosses val="autoZero"/>
        <c:auto val="1"/>
        <c:lblOffset val="100"/>
        <c:noMultiLvlLbl val="0"/>
      </c:catAx>
      <c:valAx>
        <c:axId val="57574385"/>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367985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deduction cost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Calc'!$A$172:$U$172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Calc'!$A$171:$U$171</c:f>
              <c:numCache>
                <c:ptCount val="21"/>
                <c:pt idx="0">
                  <c:v>214211152.7733</c:v>
                </c:pt>
                <c:pt idx="1">
                  <c:v>214433790.2914</c:v>
                </c:pt>
                <c:pt idx="2">
                  <c:v>214656427.8096</c:v>
                </c:pt>
                <c:pt idx="3">
                  <c:v>214879065.3277</c:v>
                </c:pt>
                <c:pt idx="4">
                  <c:v>215101702.8458</c:v>
                </c:pt>
                <c:pt idx="5">
                  <c:v>215324340.364</c:v>
                </c:pt>
                <c:pt idx="6">
                  <c:v>215546977.8821</c:v>
                </c:pt>
                <c:pt idx="7">
                  <c:v>215769615.4003</c:v>
                </c:pt>
                <c:pt idx="8">
                  <c:v>215992252.9184</c:v>
                </c:pt>
                <c:pt idx="9">
                  <c:v>216214890.4366</c:v>
                </c:pt>
                <c:pt idx="10">
                  <c:v>216437527.9547</c:v>
                </c:pt>
                <c:pt idx="11">
                  <c:v>216660165.4728</c:v>
                </c:pt>
                <c:pt idx="12">
                  <c:v>216882802.991</c:v>
                </c:pt>
                <c:pt idx="13">
                  <c:v>217105440.5091</c:v>
                </c:pt>
                <c:pt idx="14">
                  <c:v>217328078.0273</c:v>
                </c:pt>
                <c:pt idx="15">
                  <c:v>217550715.5454</c:v>
                </c:pt>
                <c:pt idx="16">
                  <c:v>217773353.0635</c:v>
                </c:pt>
                <c:pt idx="17">
                  <c:v>217995990.5817</c:v>
                </c:pt>
                <c:pt idx="18">
                  <c:v>218218628.0998</c:v>
                </c:pt>
                <c:pt idx="19">
                  <c:v>218441265.618</c:v>
                </c:pt>
                <c:pt idx="20">
                  <c:v>218663903.1361</c:v>
                </c:pt>
              </c:numCache>
            </c:numRef>
          </c:val>
          <c:smooth val="0"/>
        </c:ser>
        <c:axId val="48407418"/>
        <c:axId val="33013579"/>
      </c:lineChart>
      <c:catAx>
        <c:axId val="4840741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3013579"/>
        <c:crosses val="autoZero"/>
        <c:auto val="1"/>
        <c:lblOffset val="100"/>
        <c:noMultiLvlLbl val="0"/>
      </c:catAx>
      <c:valAx>
        <c:axId val="3301357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840741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Expected rev. lost due to wrong quantity shipment (dispatched more than ordered)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Calc'!$A$182:$U$182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Calc'!$A$180:$U$180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28686756"/>
        <c:axId val="56854213"/>
      </c:lineChart>
      <c:catAx>
        <c:axId val="2868675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6854213"/>
        <c:crosses val="autoZero"/>
        <c:auto val="1"/>
        <c:lblOffset val="100"/>
        <c:noMultiLvlLbl val="0"/>
      </c:catAx>
      <c:valAx>
        <c:axId val="5685421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868675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Expected rev. lost due to wrong quantity shipment (dispatched more than ordered)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Calc'!$A$182:$U$182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Calc'!$A$181:$U$181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41925870"/>
        <c:axId val="41788511"/>
      </c:lineChart>
      <c:catAx>
        <c:axId val="4192587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41788511"/>
        <c:crosses val="autoZero"/>
        <c:auto val="1"/>
        <c:lblOffset val="100"/>
        <c:noMultiLvlLbl val="0"/>
      </c:catAx>
      <c:valAx>
        <c:axId val="4178851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192587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quantity (in situations when shipped is less than ordered)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Calc'!$A$192:$U$192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Calc'!$A$190:$U$190</c:f>
              <c:numCache>
                <c:ptCount val="21"/>
                <c:pt idx="0">
                  <c:v>0.402944552351453</c:v>
                </c:pt>
                <c:pt idx="1">
                  <c:v>0.402931222389135</c:v>
                </c:pt>
                <c:pt idx="2">
                  <c:v>0.402917893308735</c:v>
                </c:pt>
                <c:pt idx="3">
                  <c:v>0.402904565110166</c:v>
                </c:pt>
                <c:pt idx="4">
                  <c:v>0.402891237793339</c:v>
                </c:pt>
                <c:pt idx="5">
                  <c:v>0.402877911358168</c:v>
                </c:pt>
                <c:pt idx="6">
                  <c:v>0.402864585804564</c:v>
                </c:pt>
                <c:pt idx="7">
                  <c:v>0.402851261132441</c:v>
                </c:pt>
                <c:pt idx="8">
                  <c:v>0.402837937341711</c:v>
                </c:pt>
                <c:pt idx="9">
                  <c:v>0.402824614432287</c:v>
                </c:pt>
                <c:pt idx="10">
                  <c:v>0.402811292404081</c:v>
                </c:pt>
                <c:pt idx="11">
                  <c:v>0.402797971257005</c:v>
                </c:pt>
                <c:pt idx="12">
                  <c:v>0.402784650990973</c:v>
                </c:pt>
                <c:pt idx="13">
                  <c:v>0.402771331605897</c:v>
                </c:pt>
                <c:pt idx="14">
                  <c:v>0.402758013101689</c:v>
                </c:pt>
                <c:pt idx="15">
                  <c:v>0.402744695478262</c:v>
                </c:pt>
                <c:pt idx="16">
                  <c:v>0.402731378735529</c:v>
                </c:pt>
                <c:pt idx="17">
                  <c:v>0.402718062873402</c:v>
                </c:pt>
                <c:pt idx="18">
                  <c:v>0.402704747891795</c:v>
                </c:pt>
                <c:pt idx="19">
                  <c:v>0.402691433790619</c:v>
                </c:pt>
                <c:pt idx="20">
                  <c:v>0.402678120569787</c:v>
                </c:pt>
              </c:numCache>
            </c:numRef>
          </c:val>
          <c:smooth val="0"/>
        </c:ser>
        <c:axId val="40552280"/>
        <c:axId val="29426201"/>
      </c:lineChart>
      <c:catAx>
        <c:axId val="4055228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29426201"/>
        <c:crosses val="autoZero"/>
        <c:auto val="1"/>
        <c:lblOffset val="100"/>
        <c:noMultiLvlLbl val="0"/>
      </c:catAx>
      <c:valAx>
        <c:axId val="2942620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055228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the Manufacturer's level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Calc'!$A$62:$U$62</c:f>
              <c:numCache>
                <c:ptCount val="2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numCache>
            </c:numRef>
          </c:cat>
          <c:val>
            <c:numRef>
              <c:f>'Ranges Graphs Calc'!$A$60:$U$60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18510900"/>
        <c:axId val="32380373"/>
      </c:lineChart>
      <c:catAx>
        <c:axId val="1851090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2380373"/>
        <c:crosses val="autoZero"/>
        <c:auto val="1"/>
        <c:lblOffset val="100"/>
        <c:noMultiLvlLbl val="0"/>
      </c:catAx>
      <c:valAx>
        <c:axId val="3238037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851090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quantity (in situations when shipped is less than ordered)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Calc'!$A$192:$U$192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Calc'!$A$191:$U$191</c:f>
              <c:numCache>
                <c:ptCount val="21"/>
                <c:pt idx="0">
                  <c:v>216345853.6825</c:v>
                </c:pt>
                <c:pt idx="1">
                  <c:v>216355021.1097</c:v>
                </c:pt>
                <c:pt idx="2">
                  <c:v>216364188.537</c:v>
                </c:pt>
                <c:pt idx="3">
                  <c:v>216373355.9642</c:v>
                </c:pt>
                <c:pt idx="4">
                  <c:v>216382523.3914</c:v>
                </c:pt>
                <c:pt idx="5">
                  <c:v>216391690.8186</c:v>
                </c:pt>
                <c:pt idx="6">
                  <c:v>216400858.2458</c:v>
                </c:pt>
                <c:pt idx="7">
                  <c:v>216410025.673</c:v>
                </c:pt>
                <c:pt idx="8">
                  <c:v>216419193.1003</c:v>
                </c:pt>
                <c:pt idx="9">
                  <c:v>216428360.5275</c:v>
                </c:pt>
                <c:pt idx="10">
                  <c:v>216437527.9547</c:v>
                </c:pt>
                <c:pt idx="11">
                  <c:v>216446695.3819</c:v>
                </c:pt>
                <c:pt idx="12">
                  <c:v>216455862.8091</c:v>
                </c:pt>
                <c:pt idx="13">
                  <c:v>216465030.2363</c:v>
                </c:pt>
                <c:pt idx="14">
                  <c:v>216474197.6636</c:v>
                </c:pt>
                <c:pt idx="15">
                  <c:v>216483365.0908</c:v>
                </c:pt>
                <c:pt idx="16">
                  <c:v>216492532.518</c:v>
                </c:pt>
                <c:pt idx="17">
                  <c:v>216501699.9452</c:v>
                </c:pt>
                <c:pt idx="18">
                  <c:v>216510867.3724</c:v>
                </c:pt>
                <c:pt idx="19">
                  <c:v>216520034.7997</c:v>
                </c:pt>
                <c:pt idx="20">
                  <c:v>216529202.2269</c:v>
                </c:pt>
              </c:numCache>
            </c:numRef>
          </c:val>
          <c:smooth val="0"/>
        </c:ser>
        <c:axId val="63509218"/>
        <c:axId val="34712051"/>
      </c:lineChart>
      <c:catAx>
        <c:axId val="6350921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34712051"/>
        <c:crosses val="autoZero"/>
        <c:auto val="1"/>
        <c:lblOffset val="100"/>
        <c:noMultiLvlLbl val="0"/>
      </c:catAx>
      <c:valAx>
        <c:axId val="3471205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350921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product (2-way shipping: cost to ship the wrong product back to mfgr. + cost to ship the right product to retailer)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Calc'!$A$202:$U$202</c:f>
              <c:numCache>
                <c:ptCount val="21"/>
                <c:pt idx="0">
                  <c:v>10000</c:v>
                </c:pt>
                <c:pt idx="1">
                  <c:v>10500</c:v>
                </c:pt>
                <c:pt idx="2">
                  <c:v>11000</c:v>
                </c:pt>
                <c:pt idx="3">
                  <c:v>11500</c:v>
                </c:pt>
                <c:pt idx="4">
                  <c:v>12000</c:v>
                </c:pt>
                <c:pt idx="5">
                  <c:v>12500</c:v>
                </c:pt>
                <c:pt idx="6">
                  <c:v>13000</c:v>
                </c:pt>
                <c:pt idx="7">
                  <c:v>13500</c:v>
                </c:pt>
                <c:pt idx="8">
                  <c:v>14000</c:v>
                </c:pt>
                <c:pt idx="9">
                  <c:v>14500</c:v>
                </c:pt>
                <c:pt idx="10">
                  <c:v>15000</c:v>
                </c:pt>
                <c:pt idx="11">
                  <c:v>15500</c:v>
                </c:pt>
                <c:pt idx="12">
                  <c:v>16000</c:v>
                </c:pt>
                <c:pt idx="13">
                  <c:v>16500</c:v>
                </c:pt>
                <c:pt idx="14">
                  <c:v>17000</c:v>
                </c:pt>
                <c:pt idx="15">
                  <c:v>17500</c:v>
                </c:pt>
                <c:pt idx="16">
                  <c:v>18000</c:v>
                </c:pt>
                <c:pt idx="17">
                  <c:v>18500</c:v>
                </c:pt>
                <c:pt idx="18">
                  <c:v>19000</c:v>
                </c:pt>
                <c:pt idx="19">
                  <c:v>19500</c:v>
                </c:pt>
                <c:pt idx="20">
                  <c:v>20000</c:v>
                </c:pt>
              </c:numCache>
            </c:numRef>
          </c:cat>
          <c:val>
            <c:numRef>
              <c:f>'Ranges Graphs Calc'!$A$200:$U$200</c:f>
              <c:numCache>
                <c:ptCount val="21"/>
                <c:pt idx="0">
                  <c:v>0.402837937341711</c:v>
                </c:pt>
                <c:pt idx="1">
                  <c:v>0.402835272689325</c:v>
                </c:pt>
                <c:pt idx="2">
                  <c:v>0.40283260807219</c:v>
                </c:pt>
                <c:pt idx="3">
                  <c:v>0.402829943490306</c:v>
                </c:pt>
                <c:pt idx="4">
                  <c:v>0.402827278943672</c:v>
                </c:pt>
                <c:pt idx="5">
                  <c:v>0.402824614432287</c:v>
                </c:pt>
                <c:pt idx="6">
                  <c:v>0.402821949956151</c:v>
                </c:pt>
                <c:pt idx="7">
                  <c:v>0.402819285515263</c:v>
                </c:pt>
                <c:pt idx="8">
                  <c:v>0.402816621109623</c:v>
                </c:pt>
                <c:pt idx="9">
                  <c:v>0.402813956739229</c:v>
                </c:pt>
                <c:pt idx="10">
                  <c:v>0.402811292404081</c:v>
                </c:pt>
                <c:pt idx="11">
                  <c:v>0.402808628104178</c:v>
                </c:pt>
                <c:pt idx="12">
                  <c:v>0.40280596383952</c:v>
                </c:pt>
                <c:pt idx="13">
                  <c:v>0.402803299610105</c:v>
                </c:pt>
                <c:pt idx="14">
                  <c:v>0.402800635415934</c:v>
                </c:pt>
                <c:pt idx="15">
                  <c:v>0.402797971257005</c:v>
                </c:pt>
                <c:pt idx="16">
                  <c:v>0.402795307133318</c:v>
                </c:pt>
                <c:pt idx="17">
                  <c:v>0.402792643044872</c:v>
                </c:pt>
                <c:pt idx="18">
                  <c:v>0.402789978991666</c:v>
                </c:pt>
                <c:pt idx="19">
                  <c:v>0.4027873149737</c:v>
                </c:pt>
                <c:pt idx="20">
                  <c:v>0.402784650990973</c:v>
                </c:pt>
              </c:numCache>
            </c:numRef>
          </c:val>
          <c:smooth val="0"/>
        </c:ser>
        <c:axId val="43973004"/>
        <c:axId val="60212717"/>
      </c:lineChart>
      <c:catAx>
        <c:axId val="4397300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60212717"/>
        <c:crosses val="autoZero"/>
        <c:auto val="1"/>
        <c:lblOffset val="100"/>
        <c:noMultiLvlLbl val="0"/>
      </c:catAx>
      <c:valAx>
        <c:axId val="6021271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397300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product (2-way shipping: cost to ship the wrong product back to mfgr. + cost to ship the right product to retailer)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Calc'!$A$202:$U$202</c:f>
              <c:numCache>
                <c:ptCount val="21"/>
                <c:pt idx="0">
                  <c:v>10000</c:v>
                </c:pt>
                <c:pt idx="1">
                  <c:v>10500</c:v>
                </c:pt>
                <c:pt idx="2">
                  <c:v>11000</c:v>
                </c:pt>
                <c:pt idx="3">
                  <c:v>11500</c:v>
                </c:pt>
                <c:pt idx="4">
                  <c:v>12000</c:v>
                </c:pt>
                <c:pt idx="5">
                  <c:v>12500</c:v>
                </c:pt>
                <c:pt idx="6">
                  <c:v>13000</c:v>
                </c:pt>
                <c:pt idx="7">
                  <c:v>13500</c:v>
                </c:pt>
                <c:pt idx="8">
                  <c:v>14000</c:v>
                </c:pt>
                <c:pt idx="9">
                  <c:v>14500</c:v>
                </c:pt>
                <c:pt idx="10">
                  <c:v>15000</c:v>
                </c:pt>
                <c:pt idx="11">
                  <c:v>15500</c:v>
                </c:pt>
                <c:pt idx="12">
                  <c:v>16000</c:v>
                </c:pt>
                <c:pt idx="13">
                  <c:v>16500</c:v>
                </c:pt>
                <c:pt idx="14">
                  <c:v>17000</c:v>
                </c:pt>
                <c:pt idx="15">
                  <c:v>17500</c:v>
                </c:pt>
                <c:pt idx="16">
                  <c:v>18000</c:v>
                </c:pt>
                <c:pt idx="17">
                  <c:v>18500</c:v>
                </c:pt>
                <c:pt idx="18">
                  <c:v>19000</c:v>
                </c:pt>
                <c:pt idx="19">
                  <c:v>19500</c:v>
                </c:pt>
                <c:pt idx="20">
                  <c:v>20000</c:v>
                </c:pt>
              </c:numCache>
            </c:numRef>
          </c:cat>
          <c:val>
            <c:numRef>
              <c:f>'Ranges Graphs Calc'!$A$201:$U$201</c:f>
              <c:numCache>
                <c:ptCount val="21"/>
                <c:pt idx="0">
                  <c:v>216419193.1003</c:v>
                </c:pt>
                <c:pt idx="1">
                  <c:v>216421026.5857</c:v>
                </c:pt>
                <c:pt idx="2">
                  <c:v>216422860.0711</c:v>
                </c:pt>
                <c:pt idx="3">
                  <c:v>216424693.5566</c:v>
                </c:pt>
                <c:pt idx="4">
                  <c:v>216426527.042</c:v>
                </c:pt>
                <c:pt idx="5">
                  <c:v>216428360.5275</c:v>
                </c:pt>
                <c:pt idx="6">
                  <c:v>216430194.0129</c:v>
                </c:pt>
                <c:pt idx="7">
                  <c:v>216432027.4984</c:v>
                </c:pt>
                <c:pt idx="8">
                  <c:v>216433860.9838</c:v>
                </c:pt>
                <c:pt idx="9">
                  <c:v>216435694.4693</c:v>
                </c:pt>
                <c:pt idx="10">
                  <c:v>216437527.9547</c:v>
                </c:pt>
                <c:pt idx="11">
                  <c:v>216439361.4401</c:v>
                </c:pt>
                <c:pt idx="12">
                  <c:v>216441194.9256</c:v>
                </c:pt>
                <c:pt idx="13">
                  <c:v>216443028.411</c:v>
                </c:pt>
                <c:pt idx="14">
                  <c:v>216444861.8965</c:v>
                </c:pt>
                <c:pt idx="15">
                  <c:v>216446695.3819</c:v>
                </c:pt>
                <c:pt idx="16">
                  <c:v>216448528.8674</c:v>
                </c:pt>
                <c:pt idx="17">
                  <c:v>216450362.3528</c:v>
                </c:pt>
                <c:pt idx="18">
                  <c:v>216452195.8382</c:v>
                </c:pt>
                <c:pt idx="19">
                  <c:v>216454029.3237</c:v>
                </c:pt>
                <c:pt idx="20">
                  <c:v>216455862.8091</c:v>
                </c:pt>
              </c:numCache>
            </c:numRef>
          </c:val>
          <c:smooth val="0"/>
        </c:ser>
        <c:axId val="5043542"/>
        <c:axId val="45391879"/>
      </c:lineChart>
      <c:catAx>
        <c:axId val="504354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45391879"/>
        <c:crosses val="autoZero"/>
        <c:auto val="1"/>
        <c:lblOffset val="100"/>
        <c:noMultiLvlLbl val="0"/>
      </c:catAx>
      <c:valAx>
        <c:axId val="4539187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04354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obsolescence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Calc'!$A$212:$U$212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Calc'!$A$210:$U$210</c:f>
              <c:numCache>
                <c:ptCount val="21"/>
                <c:pt idx="0">
                  <c:v>0.520568793283261</c:v>
                </c:pt>
                <c:pt idx="1">
                  <c:v>0.505782783627904</c:v>
                </c:pt>
                <c:pt idx="2">
                  <c:v>0.491813526079106</c:v>
                </c:pt>
                <c:pt idx="3">
                  <c:v>0.478595165654339</c:v>
                </c:pt>
                <c:pt idx="4">
                  <c:v>0.466068741944811</c:v>
                </c:pt>
                <c:pt idx="5">
                  <c:v>0.454181309859145</c:v>
                </c:pt>
                <c:pt idx="6">
                  <c:v>0.442885191577</c:v>
                </c:pt>
                <c:pt idx="7">
                  <c:v>0.432137337423382</c:v>
                </c:pt>
                <c:pt idx="8">
                  <c:v>0.421898777599154</c:v>
                </c:pt>
                <c:pt idx="9">
                  <c:v>0.41213415004803</c:v>
                </c:pt>
                <c:pt idx="10">
                  <c:v>0.402811292404081</c:v>
                </c:pt>
                <c:pt idx="11">
                  <c:v>0.393900888097308</c:v>
                </c:pt>
                <c:pt idx="12">
                  <c:v>0.38537615841271</c:v>
                </c:pt>
                <c:pt idx="13">
                  <c:v>0.377212593688713</c:v>
                </c:pt>
                <c:pt idx="14">
                  <c:v>0.369387717971618</c:v>
                </c:pt>
                <c:pt idx="15">
                  <c:v>0.361880882366736</c:v>
                </c:pt>
                <c:pt idx="16">
                  <c:v>0.354673083085218</c:v>
                </c:pt>
                <c:pt idx="17">
                  <c:v>0.347746800810673</c:v>
                </c:pt>
                <c:pt idx="18">
                  <c:v>0.341085858526971</c:v>
                </c:pt>
                <c:pt idx="19">
                  <c:v>0.33467529537844</c:v>
                </c:pt>
                <c:pt idx="20">
                  <c:v>0.328501254492112</c:v>
                </c:pt>
              </c:numCache>
            </c:numRef>
          </c:val>
          <c:smooth val="0"/>
        </c:ser>
        <c:axId val="5873728"/>
        <c:axId val="52863553"/>
      </c:lineChart>
      <c:catAx>
        <c:axId val="587372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2863553"/>
        <c:crosses val="autoZero"/>
        <c:auto val="1"/>
        <c:lblOffset val="100"/>
        <c:noMultiLvlLbl val="0"/>
      </c:catAx>
      <c:valAx>
        <c:axId val="5286355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87372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obsolescence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Calc'!$A$212:$U$212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Calc'!$A$211:$U$211</c:f>
              <c:numCache>
                <c:ptCount val="21"/>
                <c:pt idx="0">
                  <c:v>153732325.7863</c:v>
                </c:pt>
                <c:pt idx="1">
                  <c:v>160002846.0032</c:v>
                </c:pt>
                <c:pt idx="2">
                  <c:v>166273366.22</c:v>
                </c:pt>
                <c:pt idx="3">
                  <c:v>172543886.4368</c:v>
                </c:pt>
                <c:pt idx="4">
                  <c:v>178814406.6537</c:v>
                </c:pt>
                <c:pt idx="5">
                  <c:v>185084926.8705</c:v>
                </c:pt>
                <c:pt idx="6">
                  <c:v>191355447.0873</c:v>
                </c:pt>
                <c:pt idx="7">
                  <c:v>197625967.3042</c:v>
                </c:pt>
                <c:pt idx="8">
                  <c:v>203896487.521</c:v>
                </c:pt>
                <c:pt idx="9">
                  <c:v>210167007.7379</c:v>
                </c:pt>
                <c:pt idx="10">
                  <c:v>216437527.9547</c:v>
                </c:pt>
                <c:pt idx="11">
                  <c:v>222708048.1715</c:v>
                </c:pt>
                <c:pt idx="12">
                  <c:v>228978568.3884</c:v>
                </c:pt>
                <c:pt idx="13">
                  <c:v>235249088.6052</c:v>
                </c:pt>
                <c:pt idx="14">
                  <c:v>241519608.822</c:v>
                </c:pt>
                <c:pt idx="15">
                  <c:v>247790129.0389</c:v>
                </c:pt>
                <c:pt idx="16">
                  <c:v>254060649.2557</c:v>
                </c:pt>
                <c:pt idx="17">
                  <c:v>260331169.4726</c:v>
                </c:pt>
                <c:pt idx="18">
                  <c:v>266601689.6894</c:v>
                </c:pt>
                <c:pt idx="19">
                  <c:v>272872209.9062</c:v>
                </c:pt>
                <c:pt idx="20">
                  <c:v>279142730.1231</c:v>
                </c:pt>
              </c:numCache>
            </c:numRef>
          </c:val>
          <c:smooth val="0"/>
        </c:ser>
        <c:axId val="6009930"/>
        <c:axId val="54089371"/>
      </c:lineChart>
      <c:catAx>
        <c:axId val="600993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4089371"/>
        <c:crosses val="autoZero"/>
        <c:auto val="1"/>
        <c:lblOffset val="100"/>
        <c:noMultiLvlLbl val="0"/>
      </c:catAx>
      <c:valAx>
        <c:axId val="5408937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00993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dollars tied in inventory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Calc'!$A$222:$U$222</c:f>
              <c:numCache>
                <c:ptCount val="21"/>
                <c:pt idx="0">
                  <c:v>3</c:v>
                </c:pt>
                <c:pt idx="1">
                  <c:v>3.2</c:v>
                </c:pt>
                <c:pt idx="2">
                  <c:v>3.4</c:v>
                </c:pt>
                <c:pt idx="3">
                  <c:v>3.6</c:v>
                </c:pt>
                <c:pt idx="4">
                  <c:v>3.8</c:v>
                </c:pt>
                <c:pt idx="5">
                  <c:v>4</c:v>
                </c:pt>
                <c:pt idx="6">
                  <c:v>4.2</c:v>
                </c:pt>
                <c:pt idx="7">
                  <c:v>4.4</c:v>
                </c:pt>
                <c:pt idx="8">
                  <c:v>4.6</c:v>
                </c:pt>
                <c:pt idx="9">
                  <c:v>4.8</c:v>
                </c:pt>
                <c:pt idx="10">
                  <c:v>5</c:v>
                </c:pt>
                <c:pt idx="11">
                  <c:v>5.2</c:v>
                </c:pt>
                <c:pt idx="12">
                  <c:v>5.4</c:v>
                </c:pt>
                <c:pt idx="13">
                  <c:v>5.6</c:v>
                </c:pt>
                <c:pt idx="14">
                  <c:v>5.8</c:v>
                </c:pt>
                <c:pt idx="15">
                  <c:v>6</c:v>
                </c:pt>
                <c:pt idx="16">
                  <c:v>6.2</c:v>
                </c:pt>
                <c:pt idx="17">
                  <c:v>6.4</c:v>
                </c:pt>
                <c:pt idx="18">
                  <c:v>6.6</c:v>
                </c:pt>
                <c:pt idx="19">
                  <c:v>6.8</c:v>
                </c:pt>
                <c:pt idx="20">
                  <c:v>7</c:v>
                </c:pt>
              </c:numCache>
            </c:numRef>
          </c:cat>
          <c:val>
            <c:numRef>
              <c:f>'Ranges Graphs Calc'!$A$220:$U$220</c:f>
              <c:numCache>
                <c:ptCount val="21"/>
                <c:pt idx="0">
                  <c:v>0.409033886450182</c:v>
                </c:pt>
                <c:pt idx="1">
                  <c:v>0.408402989040914</c:v>
                </c:pt>
                <c:pt idx="2">
                  <c:v>0.407774034837685</c:v>
                </c:pt>
                <c:pt idx="3">
                  <c:v>0.407147014876495</c:v>
                </c:pt>
                <c:pt idx="4">
                  <c:v>0.406521920248391</c:v>
                </c:pt>
                <c:pt idx="5">
                  <c:v>0.40589874209905</c:v>
                </c:pt>
                <c:pt idx="6">
                  <c:v>0.405277471628359</c:v>
                </c:pt>
                <c:pt idx="7">
                  <c:v>0.404658100090001</c:v>
                </c:pt>
                <c:pt idx="8">
                  <c:v>0.404040618791042</c:v>
                </c:pt>
                <c:pt idx="9">
                  <c:v>0.403425019091528</c:v>
                </c:pt>
                <c:pt idx="10">
                  <c:v>0.402811292404081</c:v>
                </c:pt>
                <c:pt idx="11">
                  <c:v>0.402199430193498</c:v>
                </c:pt>
                <c:pt idx="12">
                  <c:v>0.401589423976358</c:v>
                </c:pt>
                <c:pt idx="13">
                  <c:v>0.400981265320626</c:v>
                </c:pt>
                <c:pt idx="14">
                  <c:v>0.40037494584527</c:v>
                </c:pt>
                <c:pt idx="15">
                  <c:v>0.399770457219871</c:v>
                </c:pt>
                <c:pt idx="16">
                  <c:v>0.399167791164245</c:v>
                </c:pt>
                <c:pt idx="17">
                  <c:v>0.39856693944806</c:v>
                </c:pt>
                <c:pt idx="18">
                  <c:v>0.397967893890469</c:v>
                </c:pt>
                <c:pt idx="19">
                  <c:v>0.397370646359732</c:v>
                </c:pt>
                <c:pt idx="20">
                  <c:v>0.39677518877285</c:v>
                </c:pt>
              </c:numCache>
            </c:numRef>
          </c:val>
          <c:smooth val="0"/>
        </c:ser>
        <c:axId val="17042292"/>
        <c:axId val="19162901"/>
      </c:lineChart>
      <c:catAx>
        <c:axId val="1704229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9162901"/>
        <c:crosses val="autoZero"/>
        <c:auto val="1"/>
        <c:lblOffset val="100"/>
        <c:noMultiLvlLbl val="0"/>
      </c:catAx>
      <c:valAx>
        <c:axId val="1916290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704229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dollars tied in inventory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Calc'!$A$222:$U$222</c:f>
              <c:numCache>
                <c:ptCount val="21"/>
                <c:pt idx="0">
                  <c:v>3</c:v>
                </c:pt>
                <c:pt idx="1">
                  <c:v>3.2</c:v>
                </c:pt>
                <c:pt idx="2">
                  <c:v>3.4</c:v>
                </c:pt>
                <c:pt idx="3">
                  <c:v>3.6</c:v>
                </c:pt>
                <c:pt idx="4">
                  <c:v>3.8</c:v>
                </c:pt>
                <c:pt idx="5">
                  <c:v>4</c:v>
                </c:pt>
                <c:pt idx="6">
                  <c:v>4.2</c:v>
                </c:pt>
                <c:pt idx="7">
                  <c:v>4.4</c:v>
                </c:pt>
                <c:pt idx="8">
                  <c:v>4.6</c:v>
                </c:pt>
                <c:pt idx="9">
                  <c:v>4.8</c:v>
                </c:pt>
                <c:pt idx="10">
                  <c:v>5</c:v>
                </c:pt>
                <c:pt idx="11">
                  <c:v>5.2</c:v>
                </c:pt>
                <c:pt idx="12">
                  <c:v>5.4</c:v>
                </c:pt>
                <c:pt idx="13">
                  <c:v>5.6</c:v>
                </c:pt>
                <c:pt idx="14">
                  <c:v>5.8</c:v>
                </c:pt>
                <c:pt idx="15">
                  <c:v>6</c:v>
                </c:pt>
                <c:pt idx="16">
                  <c:v>6.2</c:v>
                </c:pt>
                <c:pt idx="17">
                  <c:v>6.4</c:v>
                </c:pt>
                <c:pt idx="18">
                  <c:v>6.6</c:v>
                </c:pt>
                <c:pt idx="19">
                  <c:v>6.8</c:v>
                </c:pt>
                <c:pt idx="20">
                  <c:v>7</c:v>
                </c:pt>
              </c:numCache>
            </c:numRef>
          </c:cat>
          <c:val>
            <c:numRef>
              <c:f>'Ranges Graphs Calc'!$A$221:$U$221</c:f>
              <c:numCache>
                <c:ptCount val="21"/>
                <c:pt idx="0">
                  <c:v>215087482.3216</c:v>
                </c:pt>
                <c:pt idx="1">
                  <c:v>215222486.8849</c:v>
                </c:pt>
                <c:pt idx="2">
                  <c:v>215357491.4483</c:v>
                </c:pt>
                <c:pt idx="3">
                  <c:v>215492496.0116</c:v>
                </c:pt>
                <c:pt idx="4">
                  <c:v>215627500.5749</c:v>
                </c:pt>
                <c:pt idx="5">
                  <c:v>215762505.1382</c:v>
                </c:pt>
                <c:pt idx="6">
                  <c:v>215897509.7015</c:v>
                </c:pt>
                <c:pt idx="7">
                  <c:v>216032514.2648</c:v>
                </c:pt>
                <c:pt idx="8">
                  <c:v>216167518.8281</c:v>
                </c:pt>
                <c:pt idx="9">
                  <c:v>216302523.3914</c:v>
                </c:pt>
                <c:pt idx="10">
                  <c:v>216437527.9547</c:v>
                </c:pt>
                <c:pt idx="11">
                  <c:v>216572532.518</c:v>
                </c:pt>
                <c:pt idx="12">
                  <c:v>216707537.0813</c:v>
                </c:pt>
                <c:pt idx="13">
                  <c:v>216842541.6446</c:v>
                </c:pt>
                <c:pt idx="14">
                  <c:v>216977546.2079</c:v>
                </c:pt>
                <c:pt idx="15">
                  <c:v>217112550.7712</c:v>
                </c:pt>
                <c:pt idx="16">
                  <c:v>217247555.3345</c:v>
                </c:pt>
                <c:pt idx="17">
                  <c:v>217382559.8978</c:v>
                </c:pt>
                <c:pt idx="18">
                  <c:v>217517564.4611</c:v>
                </c:pt>
                <c:pt idx="19">
                  <c:v>217652569.0244</c:v>
                </c:pt>
                <c:pt idx="20">
                  <c:v>217787573.5878</c:v>
                </c:pt>
              </c:numCache>
            </c:numRef>
          </c:val>
          <c:smooth val="0"/>
        </c:ser>
        <c:axId val="38248382"/>
        <c:axId val="8691119"/>
      </c:lineChart>
      <c:catAx>
        <c:axId val="3824838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8691119"/>
        <c:crosses val="autoZero"/>
        <c:auto val="1"/>
        <c:lblOffset val="100"/>
        <c:noMultiLvlLbl val="0"/>
      </c:catAx>
      <c:valAx>
        <c:axId val="869111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824838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annual expedite expenses and over-time costs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Calc'!$A$242:$U$242</c:f>
              <c:numCache>
                <c:ptCount val="21"/>
                <c:pt idx="0">
                  <c:v>20</c:v>
                </c:pt>
                <c:pt idx="1">
                  <c:v>22</c:v>
                </c:pt>
                <c:pt idx="2">
                  <c:v>24</c:v>
                </c:pt>
                <c:pt idx="3">
                  <c:v>26</c:v>
                </c:pt>
                <c:pt idx="4">
                  <c:v>28</c:v>
                </c:pt>
                <c:pt idx="5">
                  <c:v>30</c:v>
                </c:pt>
                <c:pt idx="6">
                  <c:v>32</c:v>
                </c:pt>
                <c:pt idx="7">
                  <c:v>34</c:v>
                </c:pt>
                <c:pt idx="8">
                  <c:v>36</c:v>
                </c:pt>
                <c:pt idx="9">
                  <c:v>38</c:v>
                </c:pt>
                <c:pt idx="10">
                  <c:v>40</c:v>
                </c:pt>
                <c:pt idx="11">
                  <c:v>42</c:v>
                </c:pt>
                <c:pt idx="12">
                  <c:v>44</c:v>
                </c:pt>
                <c:pt idx="13">
                  <c:v>46</c:v>
                </c:pt>
                <c:pt idx="14">
                  <c:v>48</c:v>
                </c:pt>
                <c:pt idx="15">
                  <c:v>50</c:v>
                </c:pt>
                <c:pt idx="16">
                  <c:v>52</c:v>
                </c:pt>
                <c:pt idx="17">
                  <c:v>54</c:v>
                </c:pt>
                <c:pt idx="18">
                  <c:v>56</c:v>
                </c:pt>
                <c:pt idx="19">
                  <c:v>58</c:v>
                </c:pt>
                <c:pt idx="20">
                  <c:v>60</c:v>
                </c:pt>
              </c:numCache>
            </c:numRef>
          </c:cat>
          <c:val>
            <c:numRef>
              <c:f>'Ranges Graphs Calc'!$A$240:$U$240</c:f>
              <c:numCache>
                <c:ptCount val="21"/>
                <c:pt idx="0">
                  <c:v>0.402944552351453</c:v>
                </c:pt>
                <c:pt idx="1">
                  <c:v>0.402931222389135</c:v>
                </c:pt>
                <c:pt idx="2">
                  <c:v>0.402917893308735</c:v>
                </c:pt>
                <c:pt idx="3">
                  <c:v>0.402904565110166</c:v>
                </c:pt>
                <c:pt idx="4">
                  <c:v>0.402891237793339</c:v>
                </c:pt>
                <c:pt idx="5">
                  <c:v>0.402877911358168</c:v>
                </c:pt>
                <c:pt idx="6">
                  <c:v>0.402864585804564</c:v>
                </c:pt>
                <c:pt idx="7">
                  <c:v>0.402851261132441</c:v>
                </c:pt>
                <c:pt idx="8">
                  <c:v>0.402837937341711</c:v>
                </c:pt>
                <c:pt idx="9">
                  <c:v>0.402824614432287</c:v>
                </c:pt>
                <c:pt idx="10">
                  <c:v>0.402811292404081</c:v>
                </c:pt>
                <c:pt idx="11">
                  <c:v>0.402797971257005</c:v>
                </c:pt>
                <c:pt idx="12">
                  <c:v>0.402784650990973</c:v>
                </c:pt>
                <c:pt idx="13">
                  <c:v>0.402771331605897</c:v>
                </c:pt>
                <c:pt idx="14">
                  <c:v>0.402758013101689</c:v>
                </c:pt>
                <c:pt idx="15">
                  <c:v>0.402744695478262</c:v>
                </c:pt>
                <c:pt idx="16">
                  <c:v>0.402731378735529</c:v>
                </c:pt>
                <c:pt idx="17">
                  <c:v>0.402718062873402</c:v>
                </c:pt>
                <c:pt idx="18">
                  <c:v>0.402704747891795</c:v>
                </c:pt>
                <c:pt idx="19">
                  <c:v>0.402691433790619</c:v>
                </c:pt>
                <c:pt idx="20">
                  <c:v>0.402678120569787</c:v>
                </c:pt>
              </c:numCache>
            </c:numRef>
          </c:val>
          <c:smooth val="0"/>
        </c:ser>
        <c:axId val="11111208"/>
        <c:axId val="32892009"/>
      </c:lineChart>
      <c:catAx>
        <c:axId val="1111120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2892009"/>
        <c:crosses val="autoZero"/>
        <c:auto val="1"/>
        <c:lblOffset val="100"/>
        <c:noMultiLvlLbl val="0"/>
      </c:catAx>
      <c:valAx>
        <c:axId val="3289200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111120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annual expedite expenses and over-time costs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Calc'!$A$242:$U$242</c:f>
              <c:numCache>
                <c:ptCount val="21"/>
                <c:pt idx="0">
                  <c:v>20</c:v>
                </c:pt>
                <c:pt idx="1">
                  <c:v>22</c:v>
                </c:pt>
                <c:pt idx="2">
                  <c:v>24</c:v>
                </c:pt>
                <c:pt idx="3">
                  <c:v>26</c:v>
                </c:pt>
                <c:pt idx="4">
                  <c:v>28</c:v>
                </c:pt>
                <c:pt idx="5">
                  <c:v>30</c:v>
                </c:pt>
                <c:pt idx="6">
                  <c:v>32</c:v>
                </c:pt>
                <c:pt idx="7">
                  <c:v>34</c:v>
                </c:pt>
                <c:pt idx="8">
                  <c:v>36</c:v>
                </c:pt>
                <c:pt idx="9">
                  <c:v>38</c:v>
                </c:pt>
                <c:pt idx="10">
                  <c:v>40</c:v>
                </c:pt>
                <c:pt idx="11">
                  <c:v>42</c:v>
                </c:pt>
                <c:pt idx="12">
                  <c:v>44</c:v>
                </c:pt>
                <c:pt idx="13">
                  <c:v>46</c:v>
                </c:pt>
                <c:pt idx="14">
                  <c:v>48</c:v>
                </c:pt>
                <c:pt idx="15">
                  <c:v>50</c:v>
                </c:pt>
                <c:pt idx="16">
                  <c:v>52</c:v>
                </c:pt>
                <c:pt idx="17">
                  <c:v>54</c:v>
                </c:pt>
                <c:pt idx="18">
                  <c:v>56</c:v>
                </c:pt>
                <c:pt idx="19">
                  <c:v>58</c:v>
                </c:pt>
                <c:pt idx="20">
                  <c:v>60</c:v>
                </c:pt>
              </c:numCache>
            </c:numRef>
          </c:cat>
          <c:val>
            <c:numRef>
              <c:f>'Ranges Graphs Calc'!$A$241:$U$241</c:f>
              <c:numCache>
                <c:ptCount val="21"/>
                <c:pt idx="0">
                  <c:v>216345853.6825</c:v>
                </c:pt>
                <c:pt idx="1">
                  <c:v>216355021.1097</c:v>
                </c:pt>
                <c:pt idx="2">
                  <c:v>216364188.537</c:v>
                </c:pt>
                <c:pt idx="3">
                  <c:v>216373355.9642</c:v>
                </c:pt>
                <c:pt idx="4">
                  <c:v>216382523.3914</c:v>
                </c:pt>
                <c:pt idx="5">
                  <c:v>216391690.8186</c:v>
                </c:pt>
                <c:pt idx="6">
                  <c:v>216400858.2458</c:v>
                </c:pt>
                <c:pt idx="7">
                  <c:v>216410025.673</c:v>
                </c:pt>
                <c:pt idx="8">
                  <c:v>216419193.1003</c:v>
                </c:pt>
                <c:pt idx="9">
                  <c:v>216428360.5275</c:v>
                </c:pt>
                <c:pt idx="10">
                  <c:v>216437527.9547</c:v>
                </c:pt>
                <c:pt idx="11">
                  <c:v>216446695.3819</c:v>
                </c:pt>
                <c:pt idx="12">
                  <c:v>216455862.8091</c:v>
                </c:pt>
                <c:pt idx="13">
                  <c:v>216465030.2363</c:v>
                </c:pt>
                <c:pt idx="14">
                  <c:v>216474197.6636</c:v>
                </c:pt>
                <c:pt idx="15">
                  <c:v>216483365.0908</c:v>
                </c:pt>
                <c:pt idx="16">
                  <c:v>216492532.518</c:v>
                </c:pt>
                <c:pt idx="17">
                  <c:v>216501699.9452</c:v>
                </c:pt>
                <c:pt idx="18">
                  <c:v>216510867.3724</c:v>
                </c:pt>
                <c:pt idx="19">
                  <c:v>216520034.7997</c:v>
                </c:pt>
                <c:pt idx="20">
                  <c:v>216529202.2269</c:v>
                </c:pt>
              </c:numCache>
            </c:numRef>
          </c:val>
          <c:smooth val="0"/>
        </c:ser>
        <c:axId val="27592626"/>
        <c:axId val="47007043"/>
      </c:lineChart>
      <c:catAx>
        <c:axId val="2759262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7007043"/>
        <c:crosses val="autoZero"/>
        <c:auto val="1"/>
        <c:lblOffset val="100"/>
        <c:noMultiLvlLbl val="0"/>
      </c:catAx>
      <c:valAx>
        <c:axId val="4700704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759262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last-minute spend on buying extra capacity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Calc'!$A$252:$U$252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Calc'!$A$250:$U$250</c:f>
              <c:numCache>
                <c:ptCount val="21"/>
                <c:pt idx="0">
                  <c:v>0.402844599126908</c:v>
                </c:pt>
                <c:pt idx="1">
                  <c:v>0.402841268206768</c:v>
                </c:pt>
                <c:pt idx="2">
                  <c:v>0.402837937341711</c:v>
                </c:pt>
                <c:pt idx="3">
                  <c:v>0.402834606531736</c:v>
                </c:pt>
                <c:pt idx="4">
                  <c:v>0.402831275776842</c:v>
                </c:pt>
                <c:pt idx="5">
                  <c:v>0.402827945077026</c:v>
                </c:pt>
                <c:pt idx="6">
                  <c:v>0.402824614432287</c:v>
                </c:pt>
                <c:pt idx="7">
                  <c:v>0.402821283842625</c:v>
                </c:pt>
                <c:pt idx="8">
                  <c:v>0.402817953308037</c:v>
                </c:pt>
                <c:pt idx="9">
                  <c:v>0.402814622828523</c:v>
                </c:pt>
                <c:pt idx="10">
                  <c:v>0.402811292404081</c:v>
                </c:pt>
                <c:pt idx="11">
                  <c:v>0.402807962034709</c:v>
                </c:pt>
                <c:pt idx="12">
                  <c:v>0.402804631720407</c:v>
                </c:pt>
                <c:pt idx="13">
                  <c:v>0.402801301461173</c:v>
                </c:pt>
                <c:pt idx="14">
                  <c:v>0.402797971257005</c:v>
                </c:pt>
                <c:pt idx="15">
                  <c:v>0.402794641107903</c:v>
                </c:pt>
                <c:pt idx="16">
                  <c:v>0.402791311013864</c:v>
                </c:pt>
                <c:pt idx="17">
                  <c:v>0.402787980974888</c:v>
                </c:pt>
                <c:pt idx="18">
                  <c:v>0.402784650990973</c:v>
                </c:pt>
                <c:pt idx="19">
                  <c:v>0.402781321062118</c:v>
                </c:pt>
                <c:pt idx="20">
                  <c:v>0.402777991188321</c:v>
                </c:pt>
              </c:numCache>
            </c:numRef>
          </c:val>
          <c:smooth val="0"/>
        </c:ser>
        <c:axId val="20410204"/>
        <c:axId val="49474109"/>
      </c:lineChart>
      <c:catAx>
        <c:axId val="2041020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9474109"/>
        <c:crosses val="autoZero"/>
        <c:auto val="1"/>
        <c:lblOffset val="100"/>
        <c:noMultiLvlLbl val="0"/>
      </c:catAx>
      <c:valAx>
        <c:axId val="4947410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041020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the Manufacturer's level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Calc'!$A$62:$U$62</c:f>
              <c:numCache>
                <c:ptCount val="2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numCache>
            </c:numRef>
          </c:cat>
          <c:val>
            <c:numRef>
              <c:f>'Ranges Graphs Calc'!$A$61:$U$61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22987902"/>
        <c:axId val="5564527"/>
      </c:lineChart>
      <c:catAx>
        <c:axId val="2298790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564527"/>
        <c:crosses val="autoZero"/>
        <c:auto val="1"/>
        <c:lblOffset val="100"/>
        <c:noMultiLvlLbl val="0"/>
      </c:catAx>
      <c:valAx>
        <c:axId val="556452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298790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last-minute spend on buying extra capacity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Calc'!$A$252:$U$252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Calc'!$A$251:$U$251</c:f>
              <c:numCache>
                <c:ptCount val="21"/>
                <c:pt idx="0">
                  <c:v>216414609.3867</c:v>
                </c:pt>
                <c:pt idx="1">
                  <c:v>216416901.2435</c:v>
                </c:pt>
                <c:pt idx="2">
                  <c:v>216419193.1003</c:v>
                </c:pt>
                <c:pt idx="3">
                  <c:v>216421484.9571</c:v>
                </c:pt>
                <c:pt idx="4">
                  <c:v>216423776.8139</c:v>
                </c:pt>
                <c:pt idx="5">
                  <c:v>216426068.6707</c:v>
                </c:pt>
                <c:pt idx="6">
                  <c:v>216428360.5275</c:v>
                </c:pt>
                <c:pt idx="7">
                  <c:v>216430652.3843</c:v>
                </c:pt>
                <c:pt idx="8">
                  <c:v>216432944.2411</c:v>
                </c:pt>
                <c:pt idx="9">
                  <c:v>216435236.0979</c:v>
                </c:pt>
                <c:pt idx="10">
                  <c:v>216437527.9547</c:v>
                </c:pt>
                <c:pt idx="11">
                  <c:v>216439819.8115</c:v>
                </c:pt>
                <c:pt idx="12">
                  <c:v>216442111.6683</c:v>
                </c:pt>
                <c:pt idx="13">
                  <c:v>216444403.5251</c:v>
                </c:pt>
                <c:pt idx="14">
                  <c:v>216446695.3819</c:v>
                </c:pt>
                <c:pt idx="15">
                  <c:v>216448987.2387</c:v>
                </c:pt>
                <c:pt idx="16">
                  <c:v>216451279.0955</c:v>
                </c:pt>
                <c:pt idx="17">
                  <c:v>216453570.9523</c:v>
                </c:pt>
                <c:pt idx="18">
                  <c:v>216455862.8091</c:v>
                </c:pt>
                <c:pt idx="19">
                  <c:v>216458154.6659</c:v>
                </c:pt>
                <c:pt idx="20">
                  <c:v>216460446.5227</c:v>
                </c:pt>
              </c:numCache>
            </c:numRef>
          </c:val>
          <c:smooth val="0"/>
        </c:ser>
        <c:axId val="42613798"/>
        <c:axId val="47979863"/>
      </c:lineChart>
      <c:catAx>
        <c:axId val="4261379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7979863"/>
        <c:crosses val="autoZero"/>
        <c:auto val="1"/>
        <c:lblOffset val="100"/>
        <c:noMultiLvlLbl val="0"/>
      </c:catAx>
      <c:valAx>
        <c:axId val="4797986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261379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Manufacturing change-over cost (Cost per change-over * Number of change overs per year)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Calc'!$A$262:$U$262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Calc'!$A$260:$U$260</c:f>
              <c:numCache>
                <c:ptCount val="21"/>
                <c:pt idx="0">
                  <c:v>0.402814622828523</c:v>
                </c:pt>
                <c:pt idx="1">
                  <c:v>0.402814289783601</c:v>
                </c:pt>
                <c:pt idx="2">
                  <c:v>0.402813956739229</c:v>
                </c:pt>
                <c:pt idx="3">
                  <c:v>0.402813623695408</c:v>
                </c:pt>
                <c:pt idx="4">
                  <c:v>0.402813290652138</c:v>
                </c:pt>
                <c:pt idx="5">
                  <c:v>0.402812957609418</c:v>
                </c:pt>
                <c:pt idx="6">
                  <c:v>0.402812624567249</c:v>
                </c:pt>
                <c:pt idx="7">
                  <c:v>0.402812291525631</c:v>
                </c:pt>
                <c:pt idx="8">
                  <c:v>0.402811958484564</c:v>
                </c:pt>
                <c:pt idx="9">
                  <c:v>0.402811625444047</c:v>
                </c:pt>
                <c:pt idx="10">
                  <c:v>0.402811292404081</c:v>
                </c:pt>
                <c:pt idx="11">
                  <c:v>0.402810959364666</c:v>
                </c:pt>
                <c:pt idx="12">
                  <c:v>0.402810626325801</c:v>
                </c:pt>
                <c:pt idx="13">
                  <c:v>0.402810293287487</c:v>
                </c:pt>
                <c:pt idx="14">
                  <c:v>0.402809960249724</c:v>
                </c:pt>
                <c:pt idx="15">
                  <c:v>0.402809627212511</c:v>
                </c:pt>
                <c:pt idx="16">
                  <c:v>0.40280929417585</c:v>
                </c:pt>
                <c:pt idx="17">
                  <c:v>0.402808961139739</c:v>
                </c:pt>
                <c:pt idx="18">
                  <c:v>0.402808628104178</c:v>
                </c:pt>
                <c:pt idx="19">
                  <c:v>0.402808295069168</c:v>
                </c:pt>
                <c:pt idx="20">
                  <c:v>0.402807962034709</c:v>
                </c:pt>
              </c:numCache>
            </c:numRef>
          </c:val>
          <c:smooth val="0"/>
        </c:ser>
        <c:axId val="29165584"/>
        <c:axId val="61163665"/>
      </c:lineChart>
      <c:catAx>
        <c:axId val="2916558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1163665"/>
        <c:crosses val="autoZero"/>
        <c:auto val="1"/>
        <c:lblOffset val="100"/>
        <c:noMultiLvlLbl val="0"/>
      </c:catAx>
      <c:valAx>
        <c:axId val="61163665"/>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916558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Manufacturing change-over cost (Cost per change-over * Number of change overs per year)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Calc'!$A$262:$U$262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Calc'!$A$261:$U$261</c:f>
              <c:numCache>
                <c:ptCount val="21"/>
                <c:pt idx="0">
                  <c:v>216435236.0979</c:v>
                </c:pt>
                <c:pt idx="1">
                  <c:v>216435465.2836</c:v>
                </c:pt>
                <c:pt idx="2">
                  <c:v>216435694.4693</c:v>
                </c:pt>
                <c:pt idx="3">
                  <c:v>216435923.6549</c:v>
                </c:pt>
                <c:pt idx="4">
                  <c:v>216436152.8406</c:v>
                </c:pt>
                <c:pt idx="5">
                  <c:v>216436382.0263</c:v>
                </c:pt>
                <c:pt idx="6">
                  <c:v>216436611.212</c:v>
                </c:pt>
                <c:pt idx="7">
                  <c:v>216436840.3977</c:v>
                </c:pt>
                <c:pt idx="8">
                  <c:v>216437069.5833</c:v>
                </c:pt>
                <c:pt idx="9">
                  <c:v>216437298.769</c:v>
                </c:pt>
                <c:pt idx="10">
                  <c:v>216437527.9547</c:v>
                </c:pt>
                <c:pt idx="11">
                  <c:v>216437757.1404</c:v>
                </c:pt>
                <c:pt idx="12">
                  <c:v>216437986.3261</c:v>
                </c:pt>
                <c:pt idx="13">
                  <c:v>216438215.5117</c:v>
                </c:pt>
                <c:pt idx="14">
                  <c:v>216438444.6974</c:v>
                </c:pt>
                <c:pt idx="15">
                  <c:v>216438673.8831</c:v>
                </c:pt>
                <c:pt idx="16">
                  <c:v>216438903.0688</c:v>
                </c:pt>
                <c:pt idx="17">
                  <c:v>216439132.2545</c:v>
                </c:pt>
                <c:pt idx="18">
                  <c:v>216439361.4401</c:v>
                </c:pt>
                <c:pt idx="19">
                  <c:v>216439590.6258</c:v>
                </c:pt>
                <c:pt idx="20">
                  <c:v>216439819.8115</c:v>
                </c:pt>
              </c:numCache>
            </c:numRef>
          </c:val>
          <c:smooth val="0"/>
        </c:ser>
        <c:axId val="13602074"/>
        <c:axId val="55309803"/>
      </c:lineChart>
      <c:catAx>
        <c:axId val="1360207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5309803"/>
        <c:crosses val="autoZero"/>
        <c:auto val="1"/>
        <c:lblOffset val="100"/>
        <c:noMultiLvlLbl val="0"/>
      </c:catAx>
      <c:valAx>
        <c:axId val="5530980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1360207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number scans per day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Calc'!$A$272:$U$272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Calc'!$A$270:$U$270</c:f>
              <c:numCache>
                <c:ptCount val="21"/>
                <c:pt idx="0">
                  <c:v>0.406593165521842</c:v>
                </c:pt>
                <c:pt idx="1">
                  <c:v>0.406211785590095</c:v>
                </c:pt>
                <c:pt idx="2">
                  <c:v>0.405831120448272</c:v>
                </c:pt>
                <c:pt idx="3">
                  <c:v>0.405451168088745</c:v>
                </c:pt>
                <c:pt idx="4">
                  <c:v>0.405071926511396</c:v>
                </c:pt>
                <c:pt idx="5">
                  <c:v>0.404693393723584</c:v>
                </c:pt>
                <c:pt idx="6">
                  <c:v>0.404315567740108</c:v>
                </c:pt>
                <c:pt idx="7">
                  <c:v>0.403938446583175</c:v>
                </c:pt>
                <c:pt idx="8">
                  <c:v>0.403562028282364</c:v>
                </c:pt>
                <c:pt idx="9">
                  <c:v>0.403186310874593</c:v>
                </c:pt>
                <c:pt idx="10">
                  <c:v>0.402811292404081</c:v>
                </c:pt>
                <c:pt idx="11">
                  <c:v>0.402436970922319</c:v>
                </c:pt>
                <c:pt idx="12">
                  <c:v>0.402063344488033</c:v>
                </c:pt>
                <c:pt idx="13">
                  <c:v>0.401690411167153</c:v>
                </c:pt>
                <c:pt idx="14">
                  <c:v>0.401318169032775</c:v>
                </c:pt>
                <c:pt idx="15">
                  <c:v>0.400946616165135</c:v>
                </c:pt>
                <c:pt idx="16">
                  <c:v>0.40057575065157</c:v>
                </c:pt>
                <c:pt idx="17">
                  <c:v>0.400205570586485</c:v>
                </c:pt>
                <c:pt idx="18">
                  <c:v>0.399836074071326</c:v>
                </c:pt>
                <c:pt idx="19">
                  <c:v>0.399467259214543</c:v>
                </c:pt>
                <c:pt idx="20">
                  <c:v>0.399099124131557</c:v>
                </c:pt>
              </c:numCache>
            </c:numRef>
          </c:val>
          <c:smooth val="0"/>
        </c:ser>
        <c:axId val="28026180"/>
        <c:axId val="50909029"/>
      </c:lineChart>
      <c:catAx>
        <c:axId val="28026180"/>
        <c:scaling>
          <c:orientation val="minMax"/>
        </c:scaling>
        <c:axPos val="b"/>
        <c:delete val="0"/>
        <c:numFmt formatCode="#,##0" sourceLinked="0"/>
        <c:majorTickMark val="out"/>
        <c:minorTickMark val="none"/>
        <c:tickLblPos val="nextTo"/>
        <c:crossAx val="50909029"/>
        <c:crosses val="autoZero"/>
        <c:auto val="1"/>
        <c:lblOffset val="100"/>
        <c:noMultiLvlLbl val="0"/>
      </c:catAx>
      <c:valAx>
        <c:axId val="5090902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802618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number scans per day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Calc'!$A$272:$U$272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Calc'!$A$271:$U$271</c:f>
              <c:numCache>
                <c:ptCount val="21"/>
                <c:pt idx="0">
                  <c:v>213859189.0497</c:v>
                </c:pt>
                <c:pt idx="1">
                  <c:v>214117022.9402</c:v>
                </c:pt>
                <c:pt idx="2">
                  <c:v>214374856.8307</c:v>
                </c:pt>
                <c:pt idx="3">
                  <c:v>214632690.7212</c:v>
                </c:pt>
                <c:pt idx="4">
                  <c:v>214890524.6117</c:v>
                </c:pt>
                <c:pt idx="5">
                  <c:v>215148358.5022</c:v>
                </c:pt>
                <c:pt idx="6">
                  <c:v>215406192.3927</c:v>
                </c:pt>
                <c:pt idx="7">
                  <c:v>215664026.2832</c:v>
                </c:pt>
                <c:pt idx="8">
                  <c:v>215921860.1737</c:v>
                </c:pt>
                <c:pt idx="9">
                  <c:v>216179694.0642</c:v>
                </c:pt>
                <c:pt idx="10">
                  <c:v>216437527.9547</c:v>
                </c:pt>
                <c:pt idx="11">
                  <c:v>216695361.8452</c:v>
                </c:pt>
                <c:pt idx="12">
                  <c:v>216953195.7357</c:v>
                </c:pt>
                <c:pt idx="13">
                  <c:v>217211029.6262</c:v>
                </c:pt>
                <c:pt idx="14">
                  <c:v>217468863.5167</c:v>
                </c:pt>
                <c:pt idx="15">
                  <c:v>217726697.4072</c:v>
                </c:pt>
                <c:pt idx="16">
                  <c:v>217984531.2977</c:v>
                </c:pt>
                <c:pt idx="17">
                  <c:v>218242365.1882</c:v>
                </c:pt>
                <c:pt idx="18">
                  <c:v>218500199.0787</c:v>
                </c:pt>
                <c:pt idx="19">
                  <c:v>218758032.9692</c:v>
                </c:pt>
                <c:pt idx="20">
                  <c:v>219015866.8596</c:v>
                </c:pt>
              </c:numCache>
            </c:numRef>
          </c:val>
          <c:smooth val="0"/>
        </c:ser>
        <c:axId val="55528078"/>
        <c:axId val="29990655"/>
      </c:lineChart>
      <c:catAx>
        <c:axId val="55528078"/>
        <c:scaling>
          <c:orientation val="minMax"/>
        </c:scaling>
        <c:axPos val="b"/>
        <c:delete val="0"/>
        <c:numFmt formatCode="#,##0" sourceLinked="0"/>
        <c:majorTickMark val="out"/>
        <c:minorTickMark val="none"/>
        <c:tickLblPos val="nextTo"/>
        <c:crossAx val="29990655"/>
        <c:crosses val="autoZero"/>
        <c:auto val="1"/>
        <c:lblOffset val="100"/>
        <c:noMultiLvlLbl val="0"/>
      </c:catAx>
      <c:valAx>
        <c:axId val="29990655"/>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552807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order leadtime (without RFID), in days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Calc'!$A$282:$U$282</c:f>
              <c:numCache>
                <c:ptCount val="21"/>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numCache>
            </c:numRef>
          </c:cat>
          <c:val>
            <c:numRef>
              <c:f>'Ranges Graphs Calc'!$A$280:$U$280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1480440"/>
        <c:axId val="13323961"/>
      </c:lineChart>
      <c:catAx>
        <c:axId val="1480440"/>
        <c:scaling>
          <c:orientation val="minMax"/>
        </c:scaling>
        <c:axPos val="b"/>
        <c:delete val="0"/>
        <c:numFmt formatCode="#,##0" sourceLinked="0"/>
        <c:majorTickMark val="out"/>
        <c:minorTickMark val="none"/>
        <c:tickLblPos val="nextTo"/>
        <c:crossAx val="13323961"/>
        <c:crosses val="autoZero"/>
        <c:auto val="1"/>
        <c:lblOffset val="100"/>
        <c:noMultiLvlLbl val="0"/>
      </c:catAx>
      <c:valAx>
        <c:axId val="1332396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48044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order leadtime (without RFID), in days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Calc'!$A$282:$U$282</c:f>
              <c:numCache>
                <c:ptCount val="21"/>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numCache>
            </c:numRef>
          </c:cat>
          <c:val>
            <c:numRef>
              <c:f>'Ranges Graphs Calc'!$A$281:$U$281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52806786"/>
        <c:axId val="5499027"/>
      </c:lineChart>
      <c:catAx>
        <c:axId val="52806786"/>
        <c:scaling>
          <c:orientation val="minMax"/>
        </c:scaling>
        <c:axPos val="b"/>
        <c:delete val="0"/>
        <c:numFmt formatCode="#,##0" sourceLinked="0"/>
        <c:majorTickMark val="out"/>
        <c:minorTickMark val="none"/>
        <c:tickLblPos val="nextTo"/>
        <c:crossAx val="5499027"/>
        <c:crosses val="autoZero"/>
        <c:auto val="1"/>
        <c:lblOffset val="100"/>
        <c:noMultiLvlLbl val="0"/>
      </c:catAx>
      <c:valAx>
        <c:axId val="549902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280678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Fraction of total order leadtime for locating inventory &amp; picking right products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Calc'!$A$292:$U$292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Calc'!$A$290:$U$290</c:f>
              <c:numCache>
                <c:ptCount val="21"/>
                <c:pt idx="0">
                  <c:v>0.404072231738865</c:v>
                </c:pt>
                <c:pt idx="1">
                  <c:v>0.403947634029777</c:v>
                </c:pt>
                <c:pt idx="2">
                  <c:v>0.403822712655043</c:v>
                </c:pt>
                <c:pt idx="3">
                  <c:v>0.403697464398486</c:v>
                </c:pt>
                <c:pt idx="4">
                  <c:v>0.403571885991377</c:v>
                </c:pt>
                <c:pt idx="5">
                  <c:v>0.403445974111222</c:v>
                </c:pt>
                <c:pt idx="6">
                  <c:v>0.40331972538052</c:v>
                </c:pt>
                <c:pt idx="7">
                  <c:v>0.40319313636548</c:v>
                </c:pt>
                <c:pt idx="8">
                  <c:v>0.403066203574702</c:v>
                </c:pt>
                <c:pt idx="9">
                  <c:v>0.402938923457816</c:v>
                </c:pt>
                <c:pt idx="10">
                  <c:v>0.402811292404081</c:v>
                </c:pt>
                <c:pt idx="11">
                  <c:v>0.402683306740937</c:v>
                </c:pt>
                <c:pt idx="12">
                  <c:v>0.402554962732521</c:v>
                </c:pt>
                <c:pt idx="13">
                  <c:v>0.402426256578123</c:v>
                </c:pt>
                <c:pt idx="14">
                  <c:v>0.40229718441061</c:v>
                </c:pt>
                <c:pt idx="15">
                  <c:v>0.402167742294786</c:v>
                </c:pt>
                <c:pt idx="16">
                  <c:v>0.402037926225706</c:v>
                </c:pt>
                <c:pt idx="17">
                  <c:v>0.401907732126936</c:v>
                </c:pt>
                <c:pt idx="18">
                  <c:v>0.401777155848757</c:v>
                </c:pt>
                <c:pt idx="19">
                  <c:v>0.40164619316631</c:v>
                </c:pt>
                <c:pt idx="20">
                  <c:v>0.401514839777677</c:v>
                </c:pt>
              </c:numCache>
            </c:numRef>
          </c:val>
          <c:smooth val="0"/>
        </c:ser>
        <c:axId val="49491244"/>
        <c:axId val="42768013"/>
      </c:lineChart>
      <c:catAx>
        <c:axId val="4949124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2768013"/>
        <c:crosses val="autoZero"/>
        <c:auto val="1"/>
        <c:lblOffset val="100"/>
        <c:noMultiLvlLbl val="0"/>
      </c:catAx>
      <c:valAx>
        <c:axId val="4276801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949124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Fraction of total order leadtime for locating inventory &amp; picking right products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Calc'!$A$292:$U$292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Calc'!$A$291:$U$291</c:f>
              <c:numCache>
                <c:ptCount val="21"/>
                <c:pt idx="0">
                  <c:v>215572503.6535</c:v>
                </c:pt>
                <c:pt idx="1">
                  <c:v>215657739.1983</c:v>
                </c:pt>
                <c:pt idx="2">
                  <c:v>215743248.9614</c:v>
                </c:pt>
                <c:pt idx="3">
                  <c:v>215829035.6066</c:v>
                </c:pt>
                <c:pt idx="4">
                  <c:v>215915101.8412</c:v>
                </c:pt>
                <c:pt idx="5">
                  <c:v>216001450.4168</c:v>
                </c:pt>
                <c:pt idx="6">
                  <c:v>216088084.1302</c:v>
                </c:pt>
                <c:pt idx="7">
                  <c:v>216175005.8252</c:v>
                </c:pt>
                <c:pt idx="8">
                  <c:v>216262218.3928</c:v>
                </c:pt>
                <c:pt idx="9">
                  <c:v>216349724.7727</c:v>
                </c:pt>
                <c:pt idx="10">
                  <c:v>216437527.9547</c:v>
                </c:pt>
                <c:pt idx="11">
                  <c:v>216525630.9794</c:v>
                </c:pt>
                <c:pt idx="12">
                  <c:v>216614036.9398</c:v>
                </c:pt>
                <c:pt idx="13">
                  <c:v>216702748.9825</c:v>
                </c:pt>
                <c:pt idx="14">
                  <c:v>216791770.3088</c:v>
                </c:pt>
                <c:pt idx="15">
                  <c:v>216881104.1763</c:v>
                </c:pt>
                <c:pt idx="16">
                  <c:v>216970753.9001</c:v>
                </c:pt>
                <c:pt idx="17">
                  <c:v>217060722.8545</c:v>
                </c:pt>
                <c:pt idx="18">
                  <c:v>217151014.474</c:v>
                </c:pt>
                <c:pt idx="19">
                  <c:v>217241632.2556</c:v>
                </c:pt>
                <c:pt idx="20">
                  <c:v>217332579.7594</c:v>
                </c:pt>
              </c:numCache>
            </c:numRef>
          </c:val>
          <c:smooth val="0"/>
        </c:ser>
        <c:axId val="49367798"/>
        <c:axId val="41656999"/>
      </c:lineChart>
      <c:catAx>
        <c:axId val="4936779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1656999"/>
        <c:crosses val="autoZero"/>
        <c:auto val="1"/>
        <c:lblOffset val="100"/>
        <c:noMultiLvlLbl val="0"/>
      </c:catAx>
      <c:valAx>
        <c:axId val="4165699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936779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Increased throughput due to shorter lead-time (% of current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Calc'!$A$312:$U$312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cat>
          <c:val>
            <c:numRef>
              <c:f>'Ranges Graphs Calc'!$A$310:$U$310</c:f>
              <c:numCache>
                <c:ptCount val="21"/>
                <c:pt idx="0">
                  <c:v>0.404084023718757</c:v>
                </c:pt>
                <c:pt idx="1">
                  <c:v>0.40395638878015</c:v>
                </c:pt>
                <c:pt idx="2">
                  <c:v>0.403828834446232</c:v>
                </c:pt>
                <c:pt idx="3">
                  <c:v>0.403701360640671</c:v>
                </c:pt>
                <c:pt idx="4">
                  <c:v>0.403573967287232</c:v>
                </c:pt>
                <c:pt idx="5">
                  <c:v>0.403446654309776</c:v>
                </c:pt>
                <c:pt idx="6">
                  <c:v>0.403319421632259</c:v>
                </c:pt>
                <c:pt idx="7">
                  <c:v>0.403192269178735</c:v>
                </c:pt>
                <c:pt idx="8">
                  <c:v>0.403065196873352</c:v>
                </c:pt>
                <c:pt idx="9">
                  <c:v>0.402938204640354</c:v>
                </c:pt>
                <c:pt idx="10">
                  <c:v>0.402811292404081</c:v>
                </c:pt>
                <c:pt idx="11">
                  <c:v>0.402684460088967</c:v>
                </c:pt>
                <c:pt idx="12">
                  <c:v>0.402557707619542</c:v>
                </c:pt>
                <c:pt idx="13">
                  <c:v>0.402431034920431</c:v>
                </c:pt>
                <c:pt idx="14">
                  <c:v>0.402304441916355</c:v>
                </c:pt>
                <c:pt idx="15">
                  <c:v>0.402177928532127</c:v>
                </c:pt>
                <c:pt idx="16">
                  <c:v>0.402051494692656</c:v>
                </c:pt>
                <c:pt idx="17">
                  <c:v>0.401925140322947</c:v>
                </c:pt>
                <c:pt idx="18">
                  <c:v>0.401798865348096</c:v>
                </c:pt>
                <c:pt idx="19">
                  <c:v>0.401672669693296</c:v>
                </c:pt>
                <c:pt idx="20">
                  <c:v>0.401546553283832</c:v>
                </c:pt>
              </c:numCache>
            </c:numRef>
          </c:val>
          <c:smooth val="0"/>
        </c:ser>
        <c:axId val="39368672"/>
        <c:axId val="18773729"/>
      </c:lineChart>
      <c:catAx>
        <c:axId val="3936867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8773729"/>
        <c:crosses val="autoZero"/>
        <c:auto val="1"/>
        <c:lblOffset val="100"/>
        <c:noMultiLvlLbl val="0"/>
      </c:catAx>
      <c:valAx>
        <c:axId val="1877372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936867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Manufacturer's stockouts translated into lost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Calc'!$A$72:$U$72</c:f>
              <c:numCache>
                <c:ptCount val="21"/>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numCache>
            </c:numRef>
          </c:cat>
          <c:val>
            <c:numRef>
              <c:f>'Ranges Graphs Calc'!$A$70:$U$70</c:f>
              <c:numCache>
                <c:ptCount val="21"/>
                <c:pt idx="0">
                  <c:v>0.402848215616857</c:v>
                </c:pt>
                <c:pt idx="1">
                  <c:v>0.402844522990975</c:v>
                </c:pt>
                <c:pt idx="2">
                  <c:v>0.402840830432788</c:v>
                </c:pt>
                <c:pt idx="3">
                  <c:v>0.402837137942294</c:v>
                </c:pt>
                <c:pt idx="4">
                  <c:v>0.402833445519491</c:v>
                </c:pt>
                <c:pt idx="5">
                  <c:v>0.402829753164377</c:v>
                </c:pt>
                <c:pt idx="6">
                  <c:v>0.402826060876951</c:v>
                </c:pt>
                <c:pt idx="7">
                  <c:v>0.40282236865721</c:v>
                </c:pt>
                <c:pt idx="8">
                  <c:v>0.402818676505152</c:v>
                </c:pt>
                <c:pt idx="9">
                  <c:v>0.402814984420777</c:v>
                </c:pt>
                <c:pt idx="10">
                  <c:v>0.402811292404081</c:v>
                </c:pt>
                <c:pt idx="11">
                  <c:v>0.402807600455063</c:v>
                </c:pt>
                <c:pt idx="12">
                  <c:v>0.402803908573722</c:v>
                </c:pt>
                <c:pt idx="13">
                  <c:v>0.402800216760054</c:v>
                </c:pt>
                <c:pt idx="14">
                  <c:v>0.402796525014059</c:v>
                </c:pt>
                <c:pt idx="15">
                  <c:v>0.402792833335735</c:v>
                </c:pt>
                <c:pt idx="16">
                  <c:v>0.40278914172508</c:v>
                </c:pt>
                <c:pt idx="17">
                  <c:v>0.402785450182091</c:v>
                </c:pt>
                <c:pt idx="18">
                  <c:v>0.402781758706768</c:v>
                </c:pt>
                <c:pt idx="19">
                  <c:v>0.402778067299107</c:v>
                </c:pt>
                <c:pt idx="20">
                  <c:v>0.402774375959108</c:v>
                </c:pt>
              </c:numCache>
            </c:numRef>
          </c:val>
          <c:smooth val="0"/>
        </c:ser>
        <c:axId val="50080744"/>
        <c:axId val="48073513"/>
      </c:lineChart>
      <c:catAx>
        <c:axId val="5008074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8073513"/>
        <c:crosses val="autoZero"/>
        <c:auto val="1"/>
        <c:lblOffset val="100"/>
        <c:noMultiLvlLbl val="0"/>
      </c:catAx>
      <c:valAx>
        <c:axId val="4807351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008074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Increased throughput due to shorter lead-time (% of current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Calc'!$A$312:$U$312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cat>
          <c:val>
            <c:numRef>
              <c:f>'Ranges Graphs Calc'!$A$311:$U$311</c:f>
              <c:numCache>
                <c:ptCount val="21"/>
                <c:pt idx="0">
                  <c:v>215564439.6483</c:v>
                </c:pt>
                <c:pt idx="1">
                  <c:v>215651748.4789</c:v>
                </c:pt>
                <c:pt idx="2">
                  <c:v>215739057.3095</c:v>
                </c:pt>
                <c:pt idx="3">
                  <c:v>215826366.1402</c:v>
                </c:pt>
                <c:pt idx="4">
                  <c:v>215913674.9708</c:v>
                </c:pt>
                <c:pt idx="5">
                  <c:v>216000983.8015</c:v>
                </c:pt>
                <c:pt idx="6">
                  <c:v>216088292.6321</c:v>
                </c:pt>
                <c:pt idx="7">
                  <c:v>216175601.4628</c:v>
                </c:pt>
                <c:pt idx="8">
                  <c:v>216262910.2934</c:v>
                </c:pt>
                <c:pt idx="9">
                  <c:v>216350219.1241</c:v>
                </c:pt>
                <c:pt idx="10">
                  <c:v>216437527.9547</c:v>
                </c:pt>
                <c:pt idx="11">
                  <c:v>216524836.7853</c:v>
                </c:pt>
                <c:pt idx="12">
                  <c:v>216612145.616</c:v>
                </c:pt>
                <c:pt idx="13">
                  <c:v>216699454.4466</c:v>
                </c:pt>
                <c:pt idx="14">
                  <c:v>216786763.2773</c:v>
                </c:pt>
                <c:pt idx="15">
                  <c:v>216874072.1079</c:v>
                </c:pt>
                <c:pt idx="16">
                  <c:v>216961380.9386</c:v>
                </c:pt>
                <c:pt idx="17">
                  <c:v>217048689.7692</c:v>
                </c:pt>
                <c:pt idx="18">
                  <c:v>217135998.5998</c:v>
                </c:pt>
                <c:pt idx="19">
                  <c:v>217223307.4305</c:v>
                </c:pt>
                <c:pt idx="20">
                  <c:v>217310616.2611</c:v>
                </c:pt>
              </c:numCache>
            </c:numRef>
          </c:val>
          <c:smooth val="0"/>
        </c:ser>
        <c:axId val="34745834"/>
        <c:axId val="44277051"/>
      </c:lineChart>
      <c:catAx>
        <c:axId val="3474583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4277051"/>
        <c:crosses val="autoZero"/>
        <c:auto val="1"/>
        <c:lblOffset val="100"/>
        <c:noMultiLvlLbl val="0"/>
      </c:catAx>
      <c:valAx>
        <c:axId val="4427705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474583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revenues generated by mfr through promotions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Calc'!$A$322:$U$322</c:f>
              <c:numCache>
                <c:ptCount val="21"/>
                <c:pt idx="0">
                  <c:v>10</c:v>
                </c:pt>
                <c:pt idx="1">
                  <c:v>12</c:v>
                </c:pt>
                <c:pt idx="2">
                  <c:v>14</c:v>
                </c:pt>
                <c:pt idx="3">
                  <c:v>16</c:v>
                </c:pt>
                <c:pt idx="4">
                  <c:v>18</c:v>
                </c:pt>
                <c:pt idx="5">
                  <c:v>20</c:v>
                </c:pt>
                <c:pt idx="6">
                  <c:v>22</c:v>
                </c:pt>
                <c:pt idx="7">
                  <c:v>24</c:v>
                </c:pt>
                <c:pt idx="8">
                  <c:v>26</c:v>
                </c:pt>
                <c:pt idx="9">
                  <c:v>28</c:v>
                </c:pt>
                <c:pt idx="10">
                  <c:v>30</c:v>
                </c:pt>
                <c:pt idx="11">
                  <c:v>32</c:v>
                </c:pt>
                <c:pt idx="12">
                  <c:v>34</c:v>
                </c:pt>
                <c:pt idx="13">
                  <c:v>36</c:v>
                </c:pt>
                <c:pt idx="14">
                  <c:v>38</c:v>
                </c:pt>
                <c:pt idx="15">
                  <c:v>40</c:v>
                </c:pt>
                <c:pt idx="16">
                  <c:v>42</c:v>
                </c:pt>
                <c:pt idx="17">
                  <c:v>44</c:v>
                </c:pt>
                <c:pt idx="18">
                  <c:v>46</c:v>
                </c:pt>
                <c:pt idx="19">
                  <c:v>48</c:v>
                </c:pt>
                <c:pt idx="20">
                  <c:v>50</c:v>
                </c:pt>
              </c:numCache>
            </c:numRef>
          </c:cat>
          <c:val>
            <c:numRef>
              <c:f>'Ranges Graphs Calc'!$A$320:$U$320</c:f>
              <c:numCache>
                <c:ptCount val="21"/>
                <c:pt idx="0">
                  <c:v>0.423614872280958</c:v>
                </c:pt>
                <c:pt idx="1">
                  <c:v>0.421438313237569</c:v>
                </c:pt>
                <c:pt idx="2">
                  <c:v>0.419284006446906</c:v>
                </c:pt>
                <c:pt idx="3">
                  <c:v>0.417151612397537</c:v>
                </c:pt>
                <c:pt idx="4">
                  <c:v>0.415040798449828</c:v>
                </c:pt>
                <c:pt idx="5">
                  <c:v>0.412951238662958</c:v>
                </c:pt>
                <c:pt idx="6">
                  <c:v>0.41088261362714</c:v>
                </c:pt>
                <c:pt idx="7">
                  <c:v>0.408834610300851</c:v>
                </c:pt>
                <c:pt idx="8">
                  <c:v>0.406806921852907</c:v>
                </c:pt>
                <c:pt idx="9">
                  <c:v>0.404799247509225</c:v>
                </c:pt>
                <c:pt idx="10">
                  <c:v>0.402811292404081</c:v>
                </c:pt>
                <c:pt idx="11">
                  <c:v>0.400842767435749</c:v>
                </c:pt>
                <c:pt idx="12">
                  <c:v>0.398893389126339</c:v>
                </c:pt>
                <c:pt idx="13">
                  <c:v>0.396962879485713</c:v>
                </c:pt>
                <c:pt idx="14">
                  <c:v>0.395050965879325</c:v>
                </c:pt>
                <c:pt idx="15">
                  <c:v>0.393157380899872</c:v>
                </c:pt>
                <c:pt idx="16">
                  <c:v>0.391281862242613</c:v>
                </c:pt>
                <c:pt idx="17">
                  <c:v>0.389424152584238</c:v>
                </c:pt>
                <c:pt idx="18">
                  <c:v>0.387583999465177</c:v>
                </c:pt>
                <c:pt idx="19">
                  <c:v>0.385761155175222</c:v>
                </c:pt>
                <c:pt idx="20">
                  <c:v>0.383955376642374</c:v>
                </c:pt>
              </c:numCache>
            </c:numRef>
          </c:val>
          <c:smooth val="0"/>
        </c:ser>
        <c:axId val="62949140"/>
        <c:axId val="29671349"/>
      </c:lineChart>
      <c:catAx>
        <c:axId val="6294914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9671349"/>
        <c:crosses val="autoZero"/>
        <c:auto val="1"/>
        <c:lblOffset val="100"/>
        <c:noMultiLvlLbl val="0"/>
      </c:catAx>
      <c:valAx>
        <c:axId val="2967134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294914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revenues generated by mfr through promotions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Calc'!$A$322:$U$322</c:f>
              <c:numCache>
                <c:ptCount val="21"/>
                <c:pt idx="0">
                  <c:v>10</c:v>
                </c:pt>
                <c:pt idx="1">
                  <c:v>12</c:v>
                </c:pt>
                <c:pt idx="2">
                  <c:v>14</c:v>
                </c:pt>
                <c:pt idx="3">
                  <c:v>16</c:v>
                </c:pt>
                <c:pt idx="4">
                  <c:v>18</c:v>
                </c:pt>
                <c:pt idx="5">
                  <c:v>20</c:v>
                </c:pt>
                <c:pt idx="6">
                  <c:v>22</c:v>
                </c:pt>
                <c:pt idx="7">
                  <c:v>24</c:v>
                </c:pt>
                <c:pt idx="8">
                  <c:v>26</c:v>
                </c:pt>
                <c:pt idx="9">
                  <c:v>28</c:v>
                </c:pt>
                <c:pt idx="10">
                  <c:v>30</c:v>
                </c:pt>
                <c:pt idx="11">
                  <c:v>32</c:v>
                </c:pt>
                <c:pt idx="12">
                  <c:v>34</c:v>
                </c:pt>
                <c:pt idx="13">
                  <c:v>36</c:v>
                </c:pt>
                <c:pt idx="14">
                  <c:v>38</c:v>
                </c:pt>
                <c:pt idx="15">
                  <c:v>40</c:v>
                </c:pt>
                <c:pt idx="16">
                  <c:v>42</c:v>
                </c:pt>
                <c:pt idx="17">
                  <c:v>44</c:v>
                </c:pt>
                <c:pt idx="18">
                  <c:v>46</c:v>
                </c:pt>
                <c:pt idx="19">
                  <c:v>48</c:v>
                </c:pt>
                <c:pt idx="20">
                  <c:v>50</c:v>
                </c:pt>
              </c:numCache>
            </c:numRef>
          </c:cat>
          <c:val>
            <c:numRef>
              <c:f>'Ranges Graphs Calc'!$A$321:$U$321</c:f>
              <c:numCache>
                <c:ptCount val="21"/>
                <c:pt idx="0">
                  <c:v>202824335.0807</c:v>
                </c:pt>
                <c:pt idx="1">
                  <c:v>204185654.3681</c:v>
                </c:pt>
                <c:pt idx="2">
                  <c:v>205546973.6555</c:v>
                </c:pt>
                <c:pt idx="3">
                  <c:v>206908292.9429</c:v>
                </c:pt>
                <c:pt idx="4">
                  <c:v>208269612.2303</c:v>
                </c:pt>
                <c:pt idx="5">
                  <c:v>209630931.5177</c:v>
                </c:pt>
                <c:pt idx="6">
                  <c:v>210992250.8051</c:v>
                </c:pt>
                <c:pt idx="7">
                  <c:v>212353570.0925</c:v>
                </c:pt>
                <c:pt idx="8">
                  <c:v>213714889.3799</c:v>
                </c:pt>
                <c:pt idx="9">
                  <c:v>215076208.6673</c:v>
                </c:pt>
                <c:pt idx="10">
                  <c:v>216437527.9547</c:v>
                </c:pt>
                <c:pt idx="11">
                  <c:v>217798847.2421</c:v>
                </c:pt>
                <c:pt idx="12">
                  <c:v>219160166.5295</c:v>
                </c:pt>
                <c:pt idx="13">
                  <c:v>220521485.8169</c:v>
                </c:pt>
                <c:pt idx="14">
                  <c:v>221882805.1043</c:v>
                </c:pt>
                <c:pt idx="15">
                  <c:v>223244124.3917</c:v>
                </c:pt>
                <c:pt idx="16">
                  <c:v>224605443.6791</c:v>
                </c:pt>
                <c:pt idx="17">
                  <c:v>225966762.9665</c:v>
                </c:pt>
                <c:pt idx="18">
                  <c:v>227328082.2539</c:v>
                </c:pt>
                <c:pt idx="19">
                  <c:v>228689401.5413</c:v>
                </c:pt>
                <c:pt idx="20">
                  <c:v>230050720.8287</c:v>
                </c:pt>
              </c:numCache>
            </c:numRef>
          </c:val>
          <c:smooth val="0"/>
        </c:ser>
        <c:axId val="65715550"/>
        <c:axId val="54569039"/>
      </c:lineChart>
      <c:catAx>
        <c:axId val="6571555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4569039"/>
        <c:crosses val="autoZero"/>
        <c:auto val="1"/>
        <c:lblOffset val="100"/>
        <c:noMultiLvlLbl val="0"/>
      </c:catAx>
      <c:valAx>
        <c:axId val="5456903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571555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OOS during promotions at stores (as % of promotion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Calc'!$A$332:$U$332</c:f>
              <c:numCache>
                <c:ptCount val="21"/>
                <c:pt idx="0">
                  <c:v>5</c:v>
                </c:pt>
                <c:pt idx="1">
                  <c:v>5.5</c:v>
                </c:pt>
                <c:pt idx="2">
                  <c:v>6</c:v>
                </c:pt>
                <c:pt idx="3">
                  <c:v>6.5</c:v>
                </c:pt>
                <c:pt idx="4">
                  <c:v>7</c:v>
                </c:pt>
                <c:pt idx="5">
                  <c:v>7.5</c:v>
                </c:pt>
                <c:pt idx="6">
                  <c:v>8</c:v>
                </c:pt>
                <c:pt idx="7">
                  <c:v>8.5</c:v>
                </c:pt>
                <c:pt idx="8">
                  <c:v>9</c:v>
                </c:pt>
                <c:pt idx="9">
                  <c:v>9.5</c:v>
                </c:pt>
                <c:pt idx="10">
                  <c:v>10</c:v>
                </c:pt>
                <c:pt idx="11">
                  <c:v>10.5</c:v>
                </c:pt>
                <c:pt idx="12">
                  <c:v>11</c:v>
                </c:pt>
                <c:pt idx="13">
                  <c:v>11.5</c:v>
                </c:pt>
                <c:pt idx="14">
                  <c:v>12</c:v>
                </c:pt>
                <c:pt idx="15">
                  <c:v>12.5</c:v>
                </c:pt>
                <c:pt idx="16">
                  <c:v>13</c:v>
                </c:pt>
                <c:pt idx="17">
                  <c:v>13.5</c:v>
                </c:pt>
                <c:pt idx="18">
                  <c:v>14</c:v>
                </c:pt>
                <c:pt idx="19">
                  <c:v>14.5</c:v>
                </c:pt>
                <c:pt idx="20">
                  <c:v>15</c:v>
                </c:pt>
              </c:numCache>
            </c:numRef>
          </c:cat>
          <c:val>
            <c:numRef>
              <c:f>'Ranges Graphs Calc'!$A$330:$U$330</c:f>
              <c:numCache>
                <c:ptCount val="21"/>
                <c:pt idx="0">
                  <c:v>0.408203545246665</c:v>
                </c:pt>
                <c:pt idx="1">
                  <c:v>0.407657832118584</c:v>
                </c:pt>
                <c:pt idx="2">
                  <c:v>0.407113576132318</c:v>
                </c:pt>
                <c:pt idx="3">
                  <c:v>0.406570771459444</c:v>
                </c:pt>
                <c:pt idx="4">
                  <c:v>0.406029412302582</c:v>
                </c:pt>
                <c:pt idx="5">
                  <c:v>0.405489492895188</c:v>
                </c:pt>
                <c:pt idx="6">
                  <c:v>0.404951007501349</c:v>
                </c:pt>
                <c:pt idx="7">
                  <c:v>0.404413950415582</c:v>
                </c:pt>
                <c:pt idx="8">
                  <c:v>0.40387831596263</c:v>
                </c:pt>
                <c:pt idx="9">
                  <c:v>0.403344098497263</c:v>
                </c:pt>
                <c:pt idx="10">
                  <c:v>0.402811292404081</c:v>
                </c:pt>
                <c:pt idx="11">
                  <c:v>0.402279892097313</c:v>
                </c:pt>
                <c:pt idx="12">
                  <c:v>0.401749892020629</c:v>
                </c:pt>
                <c:pt idx="13">
                  <c:v>0.401221286646938</c:v>
                </c:pt>
                <c:pt idx="14">
                  <c:v>0.400694070478203</c:v>
                </c:pt>
                <c:pt idx="15">
                  <c:v>0.400168238045247</c:v>
                </c:pt>
                <c:pt idx="16">
                  <c:v>0.399643783907562</c:v>
                </c:pt>
                <c:pt idx="17">
                  <c:v>0.399120702653126</c:v>
                </c:pt>
                <c:pt idx="18">
                  <c:v>0.398598988898213</c:v>
                </c:pt>
                <c:pt idx="19">
                  <c:v>0.398078637287212</c:v>
                </c:pt>
                <c:pt idx="20">
                  <c:v>0.397559642492438</c:v>
                </c:pt>
              </c:numCache>
            </c:numRef>
          </c:val>
          <c:smooth val="0"/>
        </c:ser>
        <c:axId val="21359304"/>
        <c:axId val="58016009"/>
      </c:lineChart>
      <c:catAx>
        <c:axId val="2135930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8016009"/>
        <c:crosses val="autoZero"/>
        <c:auto val="1"/>
        <c:lblOffset val="100"/>
        <c:noMultiLvlLbl val="0"/>
      </c:catAx>
      <c:valAx>
        <c:axId val="5801600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135930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OOS during promotions at stores (as % of promotion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Calc'!$A$332:$U$332</c:f>
              <c:numCache>
                <c:ptCount val="21"/>
                <c:pt idx="0">
                  <c:v>5</c:v>
                </c:pt>
                <c:pt idx="1">
                  <c:v>5.5</c:v>
                </c:pt>
                <c:pt idx="2">
                  <c:v>6</c:v>
                </c:pt>
                <c:pt idx="3">
                  <c:v>6.5</c:v>
                </c:pt>
                <c:pt idx="4">
                  <c:v>7</c:v>
                </c:pt>
                <c:pt idx="5">
                  <c:v>7.5</c:v>
                </c:pt>
                <c:pt idx="6">
                  <c:v>8</c:v>
                </c:pt>
                <c:pt idx="7">
                  <c:v>8.5</c:v>
                </c:pt>
                <c:pt idx="8">
                  <c:v>9</c:v>
                </c:pt>
                <c:pt idx="9">
                  <c:v>9.5</c:v>
                </c:pt>
                <c:pt idx="10">
                  <c:v>10</c:v>
                </c:pt>
                <c:pt idx="11">
                  <c:v>10.5</c:v>
                </c:pt>
                <c:pt idx="12">
                  <c:v>11</c:v>
                </c:pt>
                <c:pt idx="13">
                  <c:v>11.5</c:v>
                </c:pt>
                <c:pt idx="14">
                  <c:v>12</c:v>
                </c:pt>
                <c:pt idx="15">
                  <c:v>12.5</c:v>
                </c:pt>
                <c:pt idx="16">
                  <c:v>13</c:v>
                </c:pt>
                <c:pt idx="17">
                  <c:v>13.5</c:v>
                </c:pt>
                <c:pt idx="18">
                  <c:v>14</c:v>
                </c:pt>
                <c:pt idx="19">
                  <c:v>14.5</c:v>
                </c:pt>
                <c:pt idx="20">
                  <c:v>15</c:v>
                </c:pt>
              </c:numCache>
            </c:numRef>
          </c:cat>
          <c:val>
            <c:numRef>
              <c:f>'Ranges Graphs Calc'!$A$331:$U$331</c:f>
              <c:numCache>
                <c:ptCount val="21"/>
                <c:pt idx="0">
                  <c:v>212775795.5975</c:v>
                </c:pt>
                <c:pt idx="1">
                  <c:v>213141968.8332</c:v>
                </c:pt>
                <c:pt idx="2">
                  <c:v>213508142.0689</c:v>
                </c:pt>
                <c:pt idx="3">
                  <c:v>213874315.3047</c:v>
                </c:pt>
                <c:pt idx="4">
                  <c:v>214240488.5404</c:v>
                </c:pt>
                <c:pt idx="5">
                  <c:v>214606661.7761</c:v>
                </c:pt>
                <c:pt idx="6">
                  <c:v>214972835.0118</c:v>
                </c:pt>
                <c:pt idx="7">
                  <c:v>215339008.2475</c:v>
                </c:pt>
                <c:pt idx="8">
                  <c:v>215705181.4833</c:v>
                </c:pt>
                <c:pt idx="9">
                  <c:v>216071354.719</c:v>
                </c:pt>
                <c:pt idx="10">
                  <c:v>216437527.9547</c:v>
                </c:pt>
                <c:pt idx="11">
                  <c:v>216803701.1904</c:v>
                </c:pt>
                <c:pt idx="12">
                  <c:v>217169874.4261</c:v>
                </c:pt>
                <c:pt idx="13">
                  <c:v>217536047.6619</c:v>
                </c:pt>
                <c:pt idx="14">
                  <c:v>217902220.8976</c:v>
                </c:pt>
                <c:pt idx="15">
                  <c:v>218268394.1333</c:v>
                </c:pt>
                <c:pt idx="16">
                  <c:v>218634567.369</c:v>
                </c:pt>
                <c:pt idx="17">
                  <c:v>219000740.6047</c:v>
                </c:pt>
                <c:pt idx="18">
                  <c:v>219366913.8405</c:v>
                </c:pt>
                <c:pt idx="19">
                  <c:v>219733087.0762</c:v>
                </c:pt>
                <c:pt idx="20">
                  <c:v>220099260.3119</c:v>
                </c:pt>
              </c:numCache>
            </c:numRef>
          </c:val>
          <c:smooth val="0"/>
        </c:ser>
        <c:axId val="52382034"/>
        <c:axId val="1676259"/>
      </c:lineChart>
      <c:catAx>
        <c:axId val="5238203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676259"/>
        <c:crosses val="autoZero"/>
        <c:auto val="1"/>
        <c:lblOffset val="100"/>
        <c:noMultiLvlLbl val="0"/>
      </c:catAx>
      <c:valAx>
        <c:axId val="167625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238203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Calc'!$A$342:$U$342</c:f>
              <c:numCache>
                <c:ptCount val="21"/>
                <c:pt idx="0">
                  <c:v>60</c:v>
                </c:pt>
                <c:pt idx="1">
                  <c:v>62</c:v>
                </c:pt>
                <c:pt idx="2">
                  <c:v>64</c:v>
                </c:pt>
                <c:pt idx="3">
                  <c:v>66</c:v>
                </c:pt>
                <c:pt idx="4">
                  <c:v>68</c:v>
                </c:pt>
                <c:pt idx="5">
                  <c:v>70</c:v>
                </c:pt>
                <c:pt idx="6">
                  <c:v>72</c:v>
                </c:pt>
                <c:pt idx="7">
                  <c:v>74</c:v>
                </c:pt>
                <c:pt idx="8">
                  <c:v>76</c:v>
                </c:pt>
                <c:pt idx="9">
                  <c:v>78</c:v>
                </c:pt>
                <c:pt idx="10">
                  <c:v>80</c:v>
                </c:pt>
                <c:pt idx="11">
                  <c:v>82</c:v>
                </c:pt>
                <c:pt idx="12">
                  <c:v>84</c:v>
                </c:pt>
                <c:pt idx="13">
                  <c:v>86</c:v>
                </c:pt>
                <c:pt idx="14">
                  <c:v>88</c:v>
                </c:pt>
                <c:pt idx="15">
                  <c:v>90</c:v>
                </c:pt>
                <c:pt idx="16">
                  <c:v>92</c:v>
                </c:pt>
                <c:pt idx="17">
                  <c:v>94</c:v>
                </c:pt>
                <c:pt idx="18">
                  <c:v>96</c:v>
                </c:pt>
                <c:pt idx="19">
                  <c:v>98</c:v>
                </c:pt>
                <c:pt idx="20">
                  <c:v>100</c:v>
                </c:pt>
              </c:numCache>
            </c:numRef>
          </c:cat>
          <c:val>
            <c:numRef>
              <c:f>'Ranges Graphs Calc'!$A$340:$U$340</c:f>
              <c:numCache>
                <c:ptCount val="21"/>
                <c:pt idx="0">
                  <c:v>0.405489492895188</c:v>
                </c:pt>
                <c:pt idx="1">
                  <c:v>0.405220071303877</c:v>
                </c:pt>
                <c:pt idx="2">
                  <c:v>0.404951007501349</c:v>
                </c:pt>
                <c:pt idx="3">
                  <c:v>0.404682300775366</c:v>
                </c:pt>
                <c:pt idx="4">
                  <c:v>0.404413950415582</c:v>
                </c:pt>
                <c:pt idx="5">
                  <c:v>0.404145955713533</c:v>
                </c:pt>
                <c:pt idx="6">
                  <c:v>0.40387831596263</c:v>
                </c:pt>
                <c:pt idx="7">
                  <c:v>0.403611030458158</c:v>
                </c:pt>
                <c:pt idx="8">
                  <c:v>0.403344098497263</c:v>
                </c:pt>
                <c:pt idx="9">
                  <c:v>0.403077519378952</c:v>
                </c:pt>
                <c:pt idx="10">
                  <c:v>0.402811292404081</c:v>
                </c:pt>
                <c:pt idx="11">
                  <c:v>0.402545416875354</c:v>
                </c:pt>
                <c:pt idx="12">
                  <c:v>0.402279892097313</c:v>
                </c:pt>
                <c:pt idx="13">
                  <c:v>0.402014717376337</c:v>
                </c:pt>
                <c:pt idx="14">
                  <c:v>0.401749892020629</c:v>
                </c:pt>
                <c:pt idx="15">
                  <c:v>0.401485415340215</c:v>
                </c:pt>
                <c:pt idx="16">
                  <c:v>0.401221286646938</c:v>
                </c:pt>
                <c:pt idx="17">
                  <c:v>0.400957505254449</c:v>
                </c:pt>
                <c:pt idx="18">
                  <c:v>0.400694070478203</c:v>
                </c:pt>
                <c:pt idx="19">
                  <c:v>0.400430981635454</c:v>
                </c:pt>
                <c:pt idx="20">
                  <c:v>0.400168238045247</c:v>
                </c:pt>
              </c:numCache>
            </c:numRef>
          </c:val>
          <c:smooth val="0"/>
        </c:ser>
        <c:axId val="15086332"/>
        <c:axId val="1559261"/>
      </c:lineChart>
      <c:catAx>
        <c:axId val="1508633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559261"/>
        <c:crosses val="autoZero"/>
        <c:auto val="1"/>
        <c:lblOffset val="100"/>
        <c:noMultiLvlLbl val="0"/>
      </c:catAx>
      <c:valAx>
        <c:axId val="155926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508633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Calc'!$A$342:$U$342</c:f>
              <c:numCache>
                <c:ptCount val="21"/>
                <c:pt idx="0">
                  <c:v>60</c:v>
                </c:pt>
                <c:pt idx="1">
                  <c:v>62</c:v>
                </c:pt>
                <c:pt idx="2">
                  <c:v>64</c:v>
                </c:pt>
                <c:pt idx="3">
                  <c:v>66</c:v>
                </c:pt>
                <c:pt idx="4">
                  <c:v>68</c:v>
                </c:pt>
                <c:pt idx="5">
                  <c:v>70</c:v>
                </c:pt>
                <c:pt idx="6">
                  <c:v>72</c:v>
                </c:pt>
                <c:pt idx="7">
                  <c:v>74</c:v>
                </c:pt>
                <c:pt idx="8">
                  <c:v>76</c:v>
                </c:pt>
                <c:pt idx="9">
                  <c:v>78</c:v>
                </c:pt>
                <c:pt idx="10">
                  <c:v>80</c:v>
                </c:pt>
                <c:pt idx="11">
                  <c:v>82</c:v>
                </c:pt>
                <c:pt idx="12">
                  <c:v>84</c:v>
                </c:pt>
                <c:pt idx="13">
                  <c:v>86</c:v>
                </c:pt>
                <c:pt idx="14">
                  <c:v>88</c:v>
                </c:pt>
                <c:pt idx="15">
                  <c:v>90</c:v>
                </c:pt>
                <c:pt idx="16">
                  <c:v>92</c:v>
                </c:pt>
                <c:pt idx="17">
                  <c:v>94</c:v>
                </c:pt>
                <c:pt idx="18">
                  <c:v>96</c:v>
                </c:pt>
                <c:pt idx="19">
                  <c:v>98</c:v>
                </c:pt>
                <c:pt idx="20">
                  <c:v>100</c:v>
                </c:pt>
              </c:numCache>
            </c:numRef>
          </c:cat>
          <c:val>
            <c:numRef>
              <c:f>'Ranges Graphs Calc'!$A$341:$U$341</c:f>
              <c:numCache>
                <c:ptCount val="21"/>
                <c:pt idx="0">
                  <c:v>214606661.7761</c:v>
                </c:pt>
                <c:pt idx="1">
                  <c:v>214789748.394</c:v>
                </c:pt>
                <c:pt idx="2">
                  <c:v>214972835.0118</c:v>
                </c:pt>
                <c:pt idx="3">
                  <c:v>215155921.6297</c:v>
                </c:pt>
                <c:pt idx="4">
                  <c:v>215339008.2475</c:v>
                </c:pt>
                <c:pt idx="5">
                  <c:v>215522094.8654</c:v>
                </c:pt>
                <c:pt idx="6">
                  <c:v>215705181.4833</c:v>
                </c:pt>
                <c:pt idx="7">
                  <c:v>215888268.1011</c:v>
                </c:pt>
                <c:pt idx="8">
                  <c:v>216071354.719</c:v>
                </c:pt>
                <c:pt idx="9">
                  <c:v>216254441.3368</c:v>
                </c:pt>
                <c:pt idx="10">
                  <c:v>216437527.9547</c:v>
                </c:pt>
                <c:pt idx="11">
                  <c:v>216620614.5726</c:v>
                </c:pt>
                <c:pt idx="12">
                  <c:v>216803701.1904</c:v>
                </c:pt>
                <c:pt idx="13">
                  <c:v>216986787.8083</c:v>
                </c:pt>
                <c:pt idx="14">
                  <c:v>217169874.4261</c:v>
                </c:pt>
                <c:pt idx="15">
                  <c:v>217352961.044</c:v>
                </c:pt>
                <c:pt idx="16">
                  <c:v>217536047.6619</c:v>
                </c:pt>
                <c:pt idx="17">
                  <c:v>217719134.2797</c:v>
                </c:pt>
                <c:pt idx="18">
                  <c:v>217902220.8976</c:v>
                </c:pt>
                <c:pt idx="19">
                  <c:v>218085307.5154</c:v>
                </c:pt>
                <c:pt idx="20">
                  <c:v>218268394.1333</c:v>
                </c:pt>
              </c:numCache>
            </c:numRef>
          </c:val>
          <c:smooth val="0"/>
        </c:ser>
        <c:axId val="14033350"/>
        <c:axId val="59191287"/>
      </c:lineChart>
      <c:catAx>
        <c:axId val="1403335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9191287"/>
        <c:crosses val="autoZero"/>
        <c:auto val="1"/>
        <c:lblOffset val="100"/>
        <c:noMultiLvlLbl val="0"/>
      </c:catAx>
      <c:valAx>
        <c:axId val="5919128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1403335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Manufacturer's stockouts translated into lost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Calc'!$A$72:$U$72</c:f>
              <c:numCache>
                <c:ptCount val="21"/>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numCache>
            </c:numRef>
          </c:cat>
          <c:val>
            <c:numRef>
              <c:f>'Ranges Graphs Calc'!$A$71:$U$71</c:f>
              <c:numCache>
                <c:ptCount val="21"/>
                <c:pt idx="0">
                  <c:v>216412121.085</c:v>
                </c:pt>
                <c:pt idx="1">
                  <c:v>216414661.772</c:v>
                </c:pt>
                <c:pt idx="2">
                  <c:v>216417202.4589</c:v>
                </c:pt>
                <c:pt idx="3">
                  <c:v>216419743.1459</c:v>
                </c:pt>
                <c:pt idx="4">
                  <c:v>216422283.8329</c:v>
                </c:pt>
                <c:pt idx="5">
                  <c:v>216424824.5198</c:v>
                </c:pt>
                <c:pt idx="6">
                  <c:v>216427365.2068</c:v>
                </c:pt>
                <c:pt idx="7">
                  <c:v>216429905.8938</c:v>
                </c:pt>
                <c:pt idx="8">
                  <c:v>216432446.5808</c:v>
                </c:pt>
                <c:pt idx="9">
                  <c:v>216434987.2677</c:v>
                </c:pt>
                <c:pt idx="10">
                  <c:v>216437527.9547</c:v>
                </c:pt>
                <c:pt idx="11">
                  <c:v>216440068.6417</c:v>
                </c:pt>
                <c:pt idx="12">
                  <c:v>216442609.3286</c:v>
                </c:pt>
                <c:pt idx="13">
                  <c:v>216445150.0156</c:v>
                </c:pt>
                <c:pt idx="14">
                  <c:v>216447690.7026</c:v>
                </c:pt>
                <c:pt idx="15">
                  <c:v>216450231.3896</c:v>
                </c:pt>
                <c:pt idx="16">
                  <c:v>216452772.0765</c:v>
                </c:pt>
                <c:pt idx="17">
                  <c:v>216455312.7635</c:v>
                </c:pt>
                <c:pt idx="18">
                  <c:v>216457853.4505</c:v>
                </c:pt>
                <c:pt idx="19">
                  <c:v>216460394.1374</c:v>
                </c:pt>
                <c:pt idx="20">
                  <c:v>216462934.8244</c:v>
                </c:pt>
              </c:numCache>
            </c:numRef>
          </c:val>
          <c:smooth val="0"/>
        </c:ser>
        <c:axId val="30008434"/>
        <c:axId val="1640451"/>
      </c:lineChart>
      <c:catAx>
        <c:axId val="3000843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640451"/>
        <c:crosses val="autoZero"/>
        <c:auto val="1"/>
        <c:lblOffset val="100"/>
        <c:noMultiLvlLbl val="0"/>
      </c:catAx>
      <c:valAx>
        <c:axId val="164045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000843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Retailer's level (as % of rev. for mfgr's product)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Calc'!$A$82:$U$82</c:f>
              <c:numCache>
                <c:ptCount val="21"/>
                <c:pt idx="0">
                  <c:v>2</c:v>
                </c:pt>
                <c:pt idx="1">
                  <c:v>2.2</c:v>
                </c:pt>
                <c:pt idx="2">
                  <c:v>2.4</c:v>
                </c:pt>
                <c:pt idx="3">
                  <c:v>2.6</c:v>
                </c:pt>
                <c:pt idx="4">
                  <c:v>2.8</c:v>
                </c:pt>
                <c:pt idx="5">
                  <c:v>3</c:v>
                </c:pt>
                <c:pt idx="6">
                  <c:v>3.2</c:v>
                </c:pt>
                <c:pt idx="7">
                  <c:v>3.4</c:v>
                </c:pt>
                <c:pt idx="8">
                  <c:v>3.6</c:v>
                </c:pt>
                <c:pt idx="9">
                  <c:v>3.8</c:v>
                </c:pt>
                <c:pt idx="10">
                  <c:v>4</c:v>
                </c:pt>
                <c:pt idx="11">
                  <c:v>4.2</c:v>
                </c:pt>
                <c:pt idx="12">
                  <c:v>4.4</c:v>
                </c:pt>
                <c:pt idx="13">
                  <c:v>4.6</c:v>
                </c:pt>
                <c:pt idx="14">
                  <c:v>4.8</c:v>
                </c:pt>
                <c:pt idx="15">
                  <c:v>5</c:v>
                </c:pt>
                <c:pt idx="16">
                  <c:v>5.2</c:v>
                </c:pt>
                <c:pt idx="17">
                  <c:v>5.4</c:v>
                </c:pt>
                <c:pt idx="18">
                  <c:v>5.6</c:v>
                </c:pt>
                <c:pt idx="19">
                  <c:v>5.8</c:v>
                </c:pt>
                <c:pt idx="20">
                  <c:v>6</c:v>
                </c:pt>
              </c:numCache>
            </c:numRef>
          </c:cat>
          <c:val>
            <c:numRef>
              <c:f>'Ranges Graphs Calc'!$A$80:$U$80</c:f>
              <c:numCache>
                <c:ptCount val="21"/>
                <c:pt idx="0">
                  <c:v>0.408795928263544</c:v>
                </c:pt>
                <c:pt idx="1">
                  <c:v>0.408189474221429</c:v>
                </c:pt>
                <c:pt idx="2">
                  <c:v>0.407584816878703</c:v>
                </c:pt>
                <c:pt idx="3">
                  <c:v>0.406981948262742</c:v>
                </c:pt>
                <c:pt idx="4">
                  <c:v>0.40638086044802</c:v>
                </c:pt>
                <c:pt idx="5">
                  <c:v>0.405781545555766</c:v>
                </c:pt>
                <c:pt idx="6">
                  <c:v>0.405183995753616</c:v>
                </c:pt>
                <c:pt idx="7">
                  <c:v>0.404588203255274</c:v>
                </c:pt>
                <c:pt idx="8">
                  <c:v>0.403994160320176</c:v>
                </c:pt>
                <c:pt idx="9">
                  <c:v>0.403401859253148</c:v>
                </c:pt>
                <c:pt idx="10">
                  <c:v>0.402811292404081</c:v>
                </c:pt>
                <c:pt idx="11">
                  <c:v>0.402222452167597</c:v>
                </c:pt>
                <c:pt idx="12">
                  <c:v>0.401635330982725</c:v>
                </c:pt>
                <c:pt idx="13">
                  <c:v>0.401049921332576</c:v>
                </c:pt>
                <c:pt idx="14">
                  <c:v>0.400466215744022</c:v>
                </c:pt>
                <c:pt idx="15">
                  <c:v>0.399884206787379</c:v>
                </c:pt>
                <c:pt idx="16">
                  <c:v>0.399303887076093</c:v>
                </c:pt>
                <c:pt idx="17">
                  <c:v>0.398725249266424</c:v>
                </c:pt>
                <c:pt idx="18">
                  <c:v>0.398148286057138</c:v>
                </c:pt>
                <c:pt idx="19">
                  <c:v>0.397572990189202</c:v>
                </c:pt>
                <c:pt idx="20">
                  <c:v>0.396999354445476</c:v>
                </c:pt>
              </c:numCache>
            </c:numRef>
          </c:val>
          <c:smooth val="0"/>
        </c:ser>
        <c:axId val="14764060"/>
        <c:axId val="65767677"/>
      </c:lineChart>
      <c:catAx>
        <c:axId val="1476406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5767677"/>
        <c:crosses val="autoZero"/>
        <c:auto val="1"/>
        <c:lblOffset val="100"/>
        <c:noMultiLvlLbl val="0"/>
      </c:catAx>
      <c:valAx>
        <c:axId val="6576767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476406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Retailer's level (as % of rev. for mfgr's product)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Calc'!$A$82:$U$82</c:f>
              <c:numCache>
                <c:ptCount val="21"/>
                <c:pt idx="0">
                  <c:v>2</c:v>
                </c:pt>
                <c:pt idx="1">
                  <c:v>2.2</c:v>
                </c:pt>
                <c:pt idx="2">
                  <c:v>2.4</c:v>
                </c:pt>
                <c:pt idx="3">
                  <c:v>2.6</c:v>
                </c:pt>
                <c:pt idx="4">
                  <c:v>2.8</c:v>
                </c:pt>
                <c:pt idx="5">
                  <c:v>3</c:v>
                </c:pt>
                <c:pt idx="6">
                  <c:v>3.2</c:v>
                </c:pt>
                <c:pt idx="7">
                  <c:v>3.4</c:v>
                </c:pt>
                <c:pt idx="8">
                  <c:v>3.6</c:v>
                </c:pt>
                <c:pt idx="9">
                  <c:v>3.8</c:v>
                </c:pt>
                <c:pt idx="10">
                  <c:v>4</c:v>
                </c:pt>
                <c:pt idx="11">
                  <c:v>4.2</c:v>
                </c:pt>
                <c:pt idx="12">
                  <c:v>4.4</c:v>
                </c:pt>
                <c:pt idx="13">
                  <c:v>4.6</c:v>
                </c:pt>
                <c:pt idx="14">
                  <c:v>4.8</c:v>
                </c:pt>
                <c:pt idx="15">
                  <c:v>5</c:v>
                </c:pt>
                <c:pt idx="16">
                  <c:v>5.2</c:v>
                </c:pt>
                <c:pt idx="17">
                  <c:v>5.4</c:v>
                </c:pt>
                <c:pt idx="18">
                  <c:v>5.6</c:v>
                </c:pt>
                <c:pt idx="19">
                  <c:v>5.8</c:v>
                </c:pt>
                <c:pt idx="20">
                  <c:v>6</c:v>
                </c:pt>
              </c:numCache>
            </c:numRef>
          </c:cat>
          <c:val>
            <c:numRef>
              <c:f>'Ranges Graphs Calc'!$A$81:$U$81</c:f>
              <c:numCache>
                <c:ptCount val="21"/>
                <c:pt idx="0">
                  <c:v>212379413.5064</c:v>
                </c:pt>
                <c:pt idx="1">
                  <c:v>212785224.9512</c:v>
                </c:pt>
                <c:pt idx="2">
                  <c:v>213191036.396</c:v>
                </c:pt>
                <c:pt idx="3">
                  <c:v>213596847.8409</c:v>
                </c:pt>
                <c:pt idx="4">
                  <c:v>214002659.2857</c:v>
                </c:pt>
                <c:pt idx="5">
                  <c:v>214408470.7305</c:v>
                </c:pt>
                <c:pt idx="6">
                  <c:v>214814282.1754</c:v>
                </c:pt>
                <c:pt idx="7">
                  <c:v>215220093.6202</c:v>
                </c:pt>
                <c:pt idx="8">
                  <c:v>215625905.065</c:v>
                </c:pt>
                <c:pt idx="9">
                  <c:v>216031716.5099</c:v>
                </c:pt>
                <c:pt idx="10">
                  <c:v>216437527.9547</c:v>
                </c:pt>
                <c:pt idx="11">
                  <c:v>216843339.3995</c:v>
                </c:pt>
                <c:pt idx="12">
                  <c:v>217249150.8444</c:v>
                </c:pt>
                <c:pt idx="13">
                  <c:v>217654962.2892</c:v>
                </c:pt>
                <c:pt idx="14">
                  <c:v>218060773.734</c:v>
                </c:pt>
                <c:pt idx="15">
                  <c:v>218466585.1789</c:v>
                </c:pt>
                <c:pt idx="16">
                  <c:v>218872396.6237</c:v>
                </c:pt>
                <c:pt idx="17">
                  <c:v>219278208.0685</c:v>
                </c:pt>
                <c:pt idx="18">
                  <c:v>219684019.5134</c:v>
                </c:pt>
                <c:pt idx="19">
                  <c:v>220089830.9582</c:v>
                </c:pt>
                <c:pt idx="20">
                  <c:v>220495642.403</c:v>
                </c:pt>
              </c:numCache>
            </c:numRef>
          </c:val>
          <c:smooth val="0"/>
        </c:ser>
        <c:axId val="55038182"/>
        <c:axId val="25581591"/>
      </c:lineChart>
      <c:catAx>
        <c:axId val="5503818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5581591"/>
        <c:crosses val="autoZero"/>
        <c:auto val="1"/>
        <c:lblOffset val="100"/>
        <c:noMultiLvlLbl val="0"/>
      </c:catAx>
      <c:valAx>
        <c:axId val="2558159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503818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Calc'!$A$92:$U$92</c:f>
              <c:numCache>
                <c:ptCount val="21"/>
                <c:pt idx="0">
                  <c:v>50</c:v>
                </c:pt>
                <c:pt idx="1">
                  <c:v>52</c:v>
                </c:pt>
                <c:pt idx="2">
                  <c:v>54</c:v>
                </c:pt>
                <c:pt idx="3">
                  <c:v>56</c:v>
                </c:pt>
                <c:pt idx="4">
                  <c:v>58</c:v>
                </c:pt>
                <c:pt idx="5">
                  <c:v>60</c:v>
                </c:pt>
                <c:pt idx="6">
                  <c:v>62</c:v>
                </c:pt>
                <c:pt idx="7">
                  <c:v>64</c:v>
                </c:pt>
                <c:pt idx="8">
                  <c:v>66</c:v>
                </c:pt>
                <c:pt idx="9">
                  <c:v>68</c:v>
                </c:pt>
                <c:pt idx="10">
                  <c:v>70</c:v>
                </c:pt>
                <c:pt idx="11">
                  <c:v>72</c:v>
                </c:pt>
                <c:pt idx="12">
                  <c:v>74</c:v>
                </c:pt>
                <c:pt idx="13">
                  <c:v>76</c:v>
                </c:pt>
                <c:pt idx="14">
                  <c:v>78</c:v>
                </c:pt>
                <c:pt idx="15">
                  <c:v>80</c:v>
                </c:pt>
                <c:pt idx="16">
                  <c:v>82</c:v>
                </c:pt>
                <c:pt idx="17">
                  <c:v>84</c:v>
                </c:pt>
                <c:pt idx="18">
                  <c:v>86</c:v>
                </c:pt>
                <c:pt idx="19">
                  <c:v>88</c:v>
                </c:pt>
                <c:pt idx="20">
                  <c:v>90</c:v>
                </c:pt>
              </c:numCache>
            </c:numRef>
          </c:cat>
          <c:val>
            <c:numRef>
              <c:f>'Ranges Graphs Calc'!$A$90:$U$90</c:f>
              <c:numCache>
                <c:ptCount val="21"/>
                <c:pt idx="0">
                  <c:v>0.406209447054596</c:v>
                </c:pt>
                <c:pt idx="1">
                  <c:v>0.405867053720025</c:v>
                </c:pt>
                <c:pt idx="2">
                  <c:v>0.405525237104996</c:v>
                </c:pt>
                <c:pt idx="3">
                  <c:v>0.405183995753616</c:v>
                </c:pt>
                <c:pt idx="4">
                  <c:v>0.404843328214885</c:v>
                </c:pt>
                <c:pt idx="5">
                  <c:v>0.404503233042684</c:v>
                </c:pt>
                <c:pt idx="6">
                  <c:v>0.404163708795745</c:v>
                </c:pt>
                <c:pt idx="7">
                  <c:v>0.403824754037637</c:v>
                </c:pt>
                <c:pt idx="8">
                  <c:v>0.403486367336743</c:v>
                </c:pt>
                <c:pt idx="9">
                  <c:v>0.40314854726624</c:v>
                </c:pt>
                <c:pt idx="10">
                  <c:v>0.402811292404081</c:v>
                </c:pt>
                <c:pt idx="11">
                  <c:v>0.402474601332972</c:v>
                </c:pt>
                <c:pt idx="12">
                  <c:v>0.402138472640354</c:v>
                </c:pt>
                <c:pt idx="13">
                  <c:v>0.401802904918384</c:v>
                </c:pt>
                <c:pt idx="14">
                  <c:v>0.401467896763913</c:v>
                </c:pt>
                <c:pt idx="15">
                  <c:v>0.401133446778467</c:v>
                </c:pt>
                <c:pt idx="16">
                  <c:v>0.40079955356823</c:v>
                </c:pt>
                <c:pt idx="17">
                  <c:v>0.400466215744022</c:v>
                </c:pt>
                <c:pt idx="18">
                  <c:v>0.40013343192128</c:v>
                </c:pt>
                <c:pt idx="19">
                  <c:v>0.399801200720041</c:v>
                </c:pt>
                <c:pt idx="20">
                  <c:v>0.39946952076492</c:v>
                </c:pt>
              </c:numCache>
            </c:numRef>
          </c:val>
          <c:smooth val="0"/>
        </c:ser>
        <c:axId val="28907728"/>
        <c:axId val="58842961"/>
      </c:lineChart>
      <c:catAx>
        <c:axId val="2890772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8842961"/>
        <c:crosses val="autoZero"/>
        <c:auto val="1"/>
        <c:lblOffset val="100"/>
        <c:noMultiLvlLbl val="0"/>
      </c:catAx>
      <c:valAx>
        <c:axId val="5884296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890772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http://me.mit.edu/people/personal/MensetManus.gif"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28</xdr:row>
      <xdr:rowOff>142875</xdr:rowOff>
    </xdr:from>
    <xdr:to>
      <xdr:col>3</xdr:col>
      <xdr:colOff>876300</xdr:colOff>
      <xdr:row>32</xdr:row>
      <xdr:rowOff>152400</xdr:rowOff>
    </xdr:to>
    <xdr:sp>
      <xdr:nvSpPr>
        <xdr:cNvPr id="1" name="Rectangle 1"/>
        <xdr:cNvSpPr>
          <a:spLocks/>
        </xdr:cNvSpPr>
      </xdr:nvSpPr>
      <xdr:spPr>
        <a:xfrm>
          <a:off x="1962150" y="4676775"/>
          <a:ext cx="88582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Manufacturer's Production Facility</a:t>
          </a:r>
        </a:p>
      </xdr:txBody>
    </xdr:sp>
    <xdr:clientData/>
  </xdr:twoCellAnchor>
  <xdr:twoCellAnchor>
    <xdr:from>
      <xdr:col>4</xdr:col>
      <xdr:colOff>257175</xdr:colOff>
      <xdr:row>28</xdr:row>
      <xdr:rowOff>142875</xdr:rowOff>
    </xdr:from>
    <xdr:to>
      <xdr:col>5</xdr:col>
      <xdr:colOff>390525</xdr:colOff>
      <xdr:row>32</xdr:row>
      <xdr:rowOff>152400</xdr:rowOff>
    </xdr:to>
    <xdr:sp>
      <xdr:nvSpPr>
        <xdr:cNvPr id="2" name="Rectangle 2"/>
        <xdr:cNvSpPr>
          <a:spLocks/>
        </xdr:cNvSpPr>
      </xdr:nvSpPr>
      <xdr:spPr>
        <a:xfrm>
          <a:off x="3152775" y="4676775"/>
          <a:ext cx="101917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Manufacturer's Warehouse</a:t>
          </a:r>
        </a:p>
      </xdr:txBody>
    </xdr:sp>
    <xdr:clientData/>
  </xdr:twoCellAnchor>
  <xdr:twoCellAnchor>
    <xdr:from>
      <xdr:col>6</xdr:col>
      <xdr:colOff>104775</xdr:colOff>
      <xdr:row>28</xdr:row>
      <xdr:rowOff>133350</xdr:rowOff>
    </xdr:from>
    <xdr:to>
      <xdr:col>7</xdr:col>
      <xdr:colOff>466725</xdr:colOff>
      <xdr:row>32</xdr:row>
      <xdr:rowOff>142875</xdr:rowOff>
    </xdr:to>
    <xdr:sp>
      <xdr:nvSpPr>
        <xdr:cNvPr id="3" name="Rectangle 3"/>
        <xdr:cNvSpPr>
          <a:spLocks/>
        </xdr:cNvSpPr>
      </xdr:nvSpPr>
      <xdr:spPr>
        <a:xfrm>
          <a:off x="4667250" y="4667250"/>
          <a:ext cx="1200150"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Retailer's Warehouse/ DC</a:t>
          </a:r>
        </a:p>
      </xdr:txBody>
    </xdr:sp>
    <xdr:clientData/>
  </xdr:twoCellAnchor>
  <xdr:twoCellAnchor>
    <xdr:from>
      <xdr:col>7</xdr:col>
      <xdr:colOff>819150</xdr:colOff>
      <xdr:row>28</xdr:row>
      <xdr:rowOff>133350</xdr:rowOff>
    </xdr:from>
    <xdr:to>
      <xdr:col>9</xdr:col>
      <xdr:colOff>523875</xdr:colOff>
      <xdr:row>32</xdr:row>
      <xdr:rowOff>142875</xdr:rowOff>
    </xdr:to>
    <xdr:sp>
      <xdr:nvSpPr>
        <xdr:cNvPr id="4" name="Rectangle 4"/>
        <xdr:cNvSpPr>
          <a:spLocks/>
        </xdr:cNvSpPr>
      </xdr:nvSpPr>
      <xdr:spPr>
        <a:xfrm>
          <a:off x="6219825" y="4667250"/>
          <a:ext cx="120967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Retail Store</a:t>
          </a:r>
        </a:p>
      </xdr:txBody>
    </xdr:sp>
    <xdr:clientData/>
  </xdr:twoCellAnchor>
  <xdr:twoCellAnchor>
    <xdr:from>
      <xdr:col>3</xdr:col>
      <xdr:colOff>904875</xdr:colOff>
      <xdr:row>30</xdr:row>
      <xdr:rowOff>142875</xdr:rowOff>
    </xdr:from>
    <xdr:to>
      <xdr:col>4</xdr:col>
      <xdr:colOff>266700</xdr:colOff>
      <xdr:row>30</xdr:row>
      <xdr:rowOff>142875</xdr:rowOff>
    </xdr:to>
    <xdr:sp>
      <xdr:nvSpPr>
        <xdr:cNvPr id="5" name="Line 5"/>
        <xdr:cNvSpPr>
          <a:spLocks/>
        </xdr:cNvSpPr>
      </xdr:nvSpPr>
      <xdr:spPr>
        <a:xfrm>
          <a:off x="2876550" y="5000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30</xdr:row>
      <xdr:rowOff>123825</xdr:rowOff>
    </xdr:from>
    <xdr:to>
      <xdr:col>6</xdr:col>
      <xdr:colOff>114300</xdr:colOff>
      <xdr:row>30</xdr:row>
      <xdr:rowOff>133350</xdr:rowOff>
    </xdr:to>
    <xdr:sp>
      <xdr:nvSpPr>
        <xdr:cNvPr id="6" name="Line 6"/>
        <xdr:cNvSpPr>
          <a:spLocks/>
        </xdr:cNvSpPr>
      </xdr:nvSpPr>
      <xdr:spPr>
        <a:xfrm flipV="1">
          <a:off x="4200525" y="4981575"/>
          <a:ext cx="4762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30</xdr:row>
      <xdr:rowOff>123825</xdr:rowOff>
    </xdr:from>
    <xdr:to>
      <xdr:col>7</xdr:col>
      <xdr:colOff>800100</xdr:colOff>
      <xdr:row>30</xdr:row>
      <xdr:rowOff>133350</xdr:rowOff>
    </xdr:to>
    <xdr:sp>
      <xdr:nvSpPr>
        <xdr:cNvPr id="7" name="Line 7"/>
        <xdr:cNvSpPr>
          <a:spLocks/>
        </xdr:cNvSpPr>
      </xdr:nvSpPr>
      <xdr:spPr>
        <a:xfrm>
          <a:off x="5895975" y="4981575"/>
          <a:ext cx="3048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885825</xdr:colOff>
      <xdr:row>28</xdr:row>
      <xdr:rowOff>0</xdr:rowOff>
    </xdr:from>
    <xdr:to>
      <xdr:col>5</xdr:col>
      <xdr:colOff>514350</xdr:colOff>
      <xdr:row>33</xdr:row>
      <xdr:rowOff>142875</xdr:rowOff>
    </xdr:to>
    <xdr:sp>
      <xdr:nvSpPr>
        <xdr:cNvPr id="8" name="Rectangle 8"/>
        <xdr:cNvSpPr>
          <a:spLocks/>
        </xdr:cNvSpPr>
      </xdr:nvSpPr>
      <xdr:spPr>
        <a:xfrm>
          <a:off x="1857375" y="4533900"/>
          <a:ext cx="2438400"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742950</xdr:colOff>
      <xdr:row>27</xdr:row>
      <xdr:rowOff>152400</xdr:rowOff>
    </xdr:from>
    <xdr:to>
      <xdr:col>10</xdr:col>
      <xdr:colOff>47625</xdr:colOff>
      <xdr:row>33</xdr:row>
      <xdr:rowOff>133350</xdr:rowOff>
    </xdr:to>
    <xdr:sp>
      <xdr:nvSpPr>
        <xdr:cNvPr id="9" name="Rectangle 9"/>
        <xdr:cNvSpPr>
          <a:spLocks/>
        </xdr:cNvSpPr>
      </xdr:nvSpPr>
      <xdr:spPr>
        <a:xfrm>
          <a:off x="4524375" y="4524375"/>
          <a:ext cx="303847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0</xdr:row>
      <xdr:rowOff>142875</xdr:rowOff>
    </xdr:from>
    <xdr:to>
      <xdr:col>10</xdr:col>
      <xdr:colOff>9525</xdr:colOff>
      <xdr:row>23</xdr:row>
      <xdr:rowOff>47625</xdr:rowOff>
    </xdr:to>
    <xdr:sp>
      <xdr:nvSpPr>
        <xdr:cNvPr id="10" name="TextBox 14"/>
        <xdr:cNvSpPr txBox="1">
          <a:spLocks noChangeArrowheads="1"/>
        </xdr:cNvSpPr>
      </xdr:nvSpPr>
      <xdr:spPr>
        <a:xfrm>
          <a:off x="561975" y="142875"/>
          <a:ext cx="6962775" cy="3629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workbook is built to help </a:t>
          </a:r>
          <a:r>
            <a:rPr lang="en-US" cap="none" sz="1000" b="1" i="0" u="none" baseline="0">
              <a:latin typeface="Arial"/>
              <a:ea typeface="Arial"/>
              <a:cs typeface="Arial"/>
            </a:rPr>
            <a:t>manufacturers</a:t>
          </a:r>
          <a:r>
            <a:rPr lang="en-US" cap="none" sz="1000" b="0" i="0" u="none" baseline="0">
              <a:latin typeface="Arial"/>
              <a:ea typeface="Arial"/>
              <a:cs typeface="Arial"/>
            </a:rPr>
            <a:t> assess their expected benefits from RFID/EPC implementation in their supply chain. This calculator is built based on inputs from manufacturers and retailers who participated in a study that was conducted jointly by the Stanford Global Supply Chain Management Forum and MIT and was sponsored by EPCglobal. The study took place during the months of 4-9/2004. For comments or suggestions regarding the calculator, please email ABC@epcglobal.org
This RFID / EPC benefits calculator has been modeled by:
</a:t>
          </a:r>
          <a:r>
            <a:rPr lang="en-US" cap="none" sz="1000" b="0" i="0" u="none" baseline="0">
              <a:latin typeface="Arial"/>
              <a:ea typeface="Arial"/>
              <a:cs typeface="Arial"/>
            </a:rPr>
            <a:t>1. Professor Hau Lee - Graduate School of Business, Stanford University
2. Dr. Barchi Peleg - Stanford Global Supply Chain Management Forum, Stanford University
3. Mr. Paresh J. Rajwat - Management Science and Engineering, Stanford University
4. Professor Sanjay Sarma - Mechanical Engineering, Massachusetts Institute of Technology
5. Ms. Mary Schoonmaker - EPCglobal Inc.
6. Professor Brian Subirana - Sloan School of Management, Massachusetts Institute of Technology
</a:t>
          </a:r>
          <a:r>
            <a:rPr lang="en-US" cap="none" sz="1000" b="0" i="0" u="none" baseline="0">
              <a:latin typeface="Arial"/>
              <a:ea typeface="Arial"/>
              <a:cs typeface="Arial"/>
            </a:rPr>
            <a:t>
Financial support from EPCglobal Inc. is gratefully acknowledged. Copyright© 2004 by the Board of Trustees of Leland Stanford Junior University.  All rights reserved.
</a:t>
          </a:r>
        </a:p>
      </xdr:txBody>
    </xdr:sp>
    <xdr:clientData/>
  </xdr:twoCellAnchor>
  <xdr:twoCellAnchor>
    <xdr:from>
      <xdr:col>1</xdr:col>
      <xdr:colOff>419100</xdr:colOff>
      <xdr:row>28</xdr:row>
      <xdr:rowOff>142875</xdr:rowOff>
    </xdr:from>
    <xdr:to>
      <xdr:col>2</xdr:col>
      <xdr:colOff>476250</xdr:colOff>
      <xdr:row>32</xdr:row>
      <xdr:rowOff>152400</xdr:rowOff>
    </xdr:to>
    <xdr:sp>
      <xdr:nvSpPr>
        <xdr:cNvPr id="11" name="Rectangle 38"/>
        <xdr:cNvSpPr>
          <a:spLocks/>
        </xdr:cNvSpPr>
      </xdr:nvSpPr>
      <xdr:spPr>
        <a:xfrm>
          <a:off x="666750" y="4676775"/>
          <a:ext cx="781050"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Supplier</a:t>
          </a:r>
        </a:p>
      </xdr:txBody>
    </xdr:sp>
    <xdr:clientData/>
  </xdr:twoCellAnchor>
  <xdr:twoCellAnchor>
    <xdr:from>
      <xdr:col>2</xdr:col>
      <xdr:colOff>485775</xdr:colOff>
      <xdr:row>30</xdr:row>
      <xdr:rowOff>142875</xdr:rowOff>
    </xdr:from>
    <xdr:to>
      <xdr:col>2</xdr:col>
      <xdr:colOff>981075</xdr:colOff>
      <xdr:row>30</xdr:row>
      <xdr:rowOff>142875</xdr:rowOff>
    </xdr:to>
    <xdr:sp>
      <xdr:nvSpPr>
        <xdr:cNvPr id="12" name="Line 39"/>
        <xdr:cNvSpPr>
          <a:spLocks/>
        </xdr:cNvSpPr>
      </xdr:nvSpPr>
      <xdr:spPr>
        <a:xfrm>
          <a:off x="1457325" y="50006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28</xdr:row>
      <xdr:rowOff>0</xdr:rowOff>
    </xdr:from>
    <xdr:to>
      <xdr:col>2</xdr:col>
      <xdr:colOff>619125</xdr:colOff>
      <xdr:row>33</xdr:row>
      <xdr:rowOff>142875</xdr:rowOff>
    </xdr:to>
    <xdr:sp>
      <xdr:nvSpPr>
        <xdr:cNvPr id="13" name="Rectangle 40"/>
        <xdr:cNvSpPr>
          <a:spLocks/>
        </xdr:cNvSpPr>
      </xdr:nvSpPr>
      <xdr:spPr>
        <a:xfrm>
          <a:off x="542925" y="4533900"/>
          <a:ext cx="1047750"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38</xdr:row>
      <xdr:rowOff>47625</xdr:rowOff>
    </xdr:from>
    <xdr:to>
      <xdr:col>10</xdr:col>
      <xdr:colOff>9525</xdr:colOff>
      <xdr:row>72</xdr:row>
      <xdr:rowOff>133350</xdr:rowOff>
    </xdr:to>
    <xdr:sp>
      <xdr:nvSpPr>
        <xdr:cNvPr id="14" name="TextBox 0"/>
        <xdr:cNvSpPr txBox="1">
          <a:spLocks noChangeArrowheads="1"/>
        </xdr:cNvSpPr>
      </xdr:nvSpPr>
      <xdr:spPr>
        <a:xfrm>
          <a:off x="561975" y="6200775"/>
          <a:ext cx="6962775" cy="559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calculator consists of  15 separate worksheets. Cells marked in grey require user inputs. Other data cells are calculations based on user input. Assumptions made in any sheet, if any, are mentioned in the respective worksheets.
</a:t>
          </a:r>
          <a:r>
            <a:rPr lang="en-US" cap="none" sz="1000" b="1" i="0" u="none" baseline="0">
              <a:solidFill>
                <a:srgbClr val="0000FF"/>
              </a:solidFill>
              <a:latin typeface="Arial"/>
              <a:ea typeface="Arial"/>
              <a:cs typeface="Arial"/>
            </a:rPr>
            <a:t>Preliminary Information Sheet</a:t>
          </a:r>
          <a:r>
            <a:rPr lang="en-US" cap="none" sz="1000" b="0" i="0" u="none" baseline="0">
              <a:latin typeface="Arial"/>
              <a:ea typeface="Arial"/>
              <a:cs typeface="Arial"/>
            </a:rPr>
            <a:t>
In this sheet users are asked to provide basic business information, including total annual revenues, profit margin, annual cost of capital, etc. In addition, the sheet provides a list of all the business drivers identified as those that can potentially be improved with the use of RFID / EPC. Users are asked to select those business drivers / business issues that are relevant for their organizations. 
</a:t>
          </a:r>
          <a:r>
            <a:rPr lang="en-US" cap="none" sz="1000" b="1" i="0" u="none" baseline="0">
              <a:solidFill>
                <a:srgbClr val="0000FF"/>
              </a:solidFill>
              <a:latin typeface="Arial"/>
              <a:ea typeface="Arial"/>
              <a:cs typeface="Arial"/>
            </a:rPr>
            <a:t>Summary Sheet</a:t>
          </a:r>
          <a:r>
            <a:rPr lang="en-US" cap="none" sz="1000" b="0" i="0" u="none" baseline="0">
              <a:latin typeface="Arial"/>
              <a:ea typeface="Arial"/>
              <a:cs typeface="Arial"/>
            </a:rPr>
            <a:t>
This sheet gives the overall summary of the calculator, including the benefits, costs, as well as the payback period and ROI.
The list of benefits include business issues that RFID may help to reduce (like stockouts, counterfeiting, diversion, etc) as well as business drivers that RFID may help to enhance (like production planning, promotions management, etc). Summarizing benefits in this way allows users to identify the contribution of RFID for each individual business issue / driver and might assist firms in prioritizing the areas to implement RFID. Four types of key benefits of RFID implementation are taken into consideration in this Calculator: added revenues, added profits, cost reduction, as well as increased service levels. The first three types of benefits are calculated quantitatively, while the improvement in service levels is only discussed qualitatively in the Summary sheet. The Summary sheet also includes a summary of the costs associated with RFID implementation, divided into one-time and recurring costs.
</a:t>
          </a:r>
          <a:r>
            <a:rPr lang="en-US" cap="none" sz="1000" b="1" i="0" u="none" baseline="0">
              <a:solidFill>
                <a:srgbClr val="0000FF"/>
              </a:solidFill>
              <a:latin typeface="Arial"/>
              <a:ea typeface="Arial"/>
              <a:cs typeface="Arial"/>
            </a:rPr>
            <a:t>Cost Sheet</a:t>
          </a:r>
          <a:r>
            <a:rPr lang="en-US" cap="none" sz="1000" b="0" i="0" u="none" baseline="0">
              <a:latin typeface="Arial"/>
              <a:ea typeface="Arial"/>
              <a:cs typeface="Arial"/>
            </a:rPr>
            <a:t>
This sheet computes, based on user input, the total one-time and recurring costs for manufacturers for implementing RFID solutions. The sheet takes into account costs that are incurred at all the manufacturer's production facilities and warehouses.
</a:t>
          </a:r>
          <a:r>
            <a:rPr lang="en-US" cap="none" sz="1000" b="1" i="0" u="none" baseline="0">
              <a:solidFill>
                <a:srgbClr val="0000FF"/>
              </a:solidFill>
              <a:latin typeface="Arial"/>
              <a:ea typeface="Arial"/>
              <a:cs typeface="Arial"/>
            </a:rPr>
            <a:t>Business Driver Sheets</a:t>
          </a:r>
          <a:r>
            <a:rPr lang="en-US" cap="none" sz="1000" b="0" i="0" u="none" baseline="0">
              <a:latin typeface="Arial"/>
              <a:ea typeface="Arial"/>
              <a:cs typeface="Arial"/>
            </a:rPr>
            <a:t>
Each of the remaining sheets calculates in detail the value of RFID for each of the business issues / business drivers (out-of-stock, shrinkage, diversion, etc.). Each sheet includes default values for the expected impacts of RFID. Users should change these default values as needed, to fit to the characteristics of their own organizations. Out of the total 11 sheets available, the Calculator will present only those sheets that are relevant to the users, based on their selection in the Preliminary Information sheet.
</a:t>
          </a:r>
          <a:r>
            <a:rPr lang="en-US" cap="none" sz="1000" b="1" i="0" u="none" baseline="0">
              <a:solidFill>
                <a:srgbClr val="0000FF"/>
              </a:solidFill>
              <a:latin typeface="Arial"/>
              <a:ea typeface="Arial"/>
              <a:cs typeface="Arial"/>
            </a:rPr>
            <a:t>How are the various sheets linked?</a:t>
          </a:r>
          <a:r>
            <a:rPr lang="en-US" cap="none" sz="1000" b="0" i="0" u="none" baseline="0">
              <a:latin typeface="Arial"/>
              <a:ea typeface="Arial"/>
              <a:cs typeface="Arial"/>
            </a:rPr>
            <a:t>
The information in the Summary sheet is based on the detailed calculations in the Costs sheet as well as each of the eleven Business Driver sheets (OOS, Shrinkage, Diversion, etc.)
</a:t>
          </a:r>
          <a:r>
            <a:rPr lang="en-US" cap="none" sz="1000" b="1" i="0" u="none" baseline="0">
              <a:solidFill>
                <a:srgbClr val="0000FF"/>
              </a:solidFill>
              <a:latin typeface="Arial"/>
              <a:ea typeface="Arial"/>
              <a:cs typeface="Arial"/>
            </a:rPr>
            <a:t>Expanding and collapsing the rows in each sheet</a:t>
          </a:r>
          <a:r>
            <a:rPr lang="en-US" cap="none" sz="1000" b="0" i="0" u="none" baseline="0">
              <a:latin typeface="Arial"/>
              <a:ea typeface="Arial"/>
              <a:cs typeface="Arial"/>
            </a:rPr>
            <a:t>
Observe in the left most margin of each worksheet. You will see + or - signs. Clicking on these signs will enable users to expand (+) or collapse (-) the rows, to control the level of detail in which the information is presented. This will avoid the scrolling down along the long worksheet. A quick way to expand and collapse all rows in the worksheet at a particular level of detail is by clicking on the numbers 1, 2 and 3 at the top of the left margin. 
</a:t>
          </a:r>
        </a:p>
      </xdr:txBody>
    </xdr:sp>
    <xdr:clientData/>
  </xdr:twoCellAnchor>
  <xdr:twoCellAnchor>
    <xdr:from>
      <xdr:col>1</xdr:col>
      <xdr:colOff>314325</xdr:colOff>
      <xdr:row>86</xdr:row>
      <xdr:rowOff>9525</xdr:rowOff>
    </xdr:from>
    <xdr:to>
      <xdr:col>10</xdr:col>
      <xdr:colOff>9525</xdr:colOff>
      <xdr:row>90</xdr:row>
      <xdr:rowOff>133350</xdr:rowOff>
    </xdr:to>
    <xdr:sp>
      <xdr:nvSpPr>
        <xdr:cNvPr id="15" name="TextBox 1"/>
        <xdr:cNvSpPr txBox="1">
          <a:spLocks noChangeArrowheads="1"/>
        </xdr:cNvSpPr>
      </xdr:nvSpPr>
      <xdr:spPr>
        <a:xfrm>
          <a:off x="561975" y="13954125"/>
          <a:ext cx="69627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calcuator provides the means for quantifying benefits on both item- and pallet/case-level tagging. To adjust the Calculator to the different levels of tagging users are requested to adjust the expected costs as well as the expected percent improvement as listed in the column titled "% reduction expected due to RFID" based on whether pallet/case-level or item-level implementation is considered.
.
</a:t>
          </a:r>
        </a:p>
      </xdr:txBody>
    </xdr:sp>
    <xdr:clientData/>
  </xdr:twoCellAnchor>
  <xdr:twoCellAnchor>
    <xdr:from>
      <xdr:col>1</xdr:col>
      <xdr:colOff>304800</xdr:colOff>
      <xdr:row>94</xdr:row>
      <xdr:rowOff>76200</xdr:rowOff>
    </xdr:from>
    <xdr:to>
      <xdr:col>10</xdr:col>
      <xdr:colOff>0</xdr:colOff>
      <xdr:row>97</xdr:row>
      <xdr:rowOff>19050</xdr:rowOff>
    </xdr:to>
    <xdr:sp>
      <xdr:nvSpPr>
        <xdr:cNvPr id="16" name="TextBox 2"/>
        <xdr:cNvSpPr txBox="1">
          <a:spLocks noChangeArrowheads="1"/>
        </xdr:cNvSpPr>
      </xdr:nvSpPr>
      <xdr:spPr>
        <a:xfrm>
          <a:off x="552450" y="15316200"/>
          <a:ext cx="696277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default buttons for user input are the anticipated maximum benefits for items and pallets/cases. Please note that these values refer only to pallet/case level tagging.
.
</a:t>
          </a:r>
        </a:p>
      </xdr:txBody>
    </xdr:sp>
    <xdr:clientData/>
  </xdr:twoCellAnchor>
  <xdr:twoCellAnchor>
    <xdr:from>
      <xdr:col>4</xdr:col>
      <xdr:colOff>571500</xdr:colOff>
      <xdr:row>19</xdr:row>
      <xdr:rowOff>47625</xdr:rowOff>
    </xdr:from>
    <xdr:to>
      <xdr:col>6</xdr:col>
      <xdr:colOff>428625</xdr:colOff>
      <xdr:row>21</xdr:row>
      <xdr:rowOff>152400</xdr:rowOff>
    </xdr:to>
    <xdr:pic>
      <xdr:nvPicPr>
        <xdr:cNvPr id="17" name="Picture 3"/>
        <xdr:cNvPicPr preferRelativeResize="1">
          <a:picLocks noChangeAspect="1"/>
        </xdr:cNvPicPr>
      </xdr:nvPicPr>
      <xdr:blipFill>
        <a:blip r:embed="rId1"/>
        <a:stretch>
          <a:fillRect/>
        </a:stretch>
      </xdr:blipFill>
      <xdr:spPr>
        <a:xfrm>
          <a:off x="3467100" y="3124200"/>
          <a:ext cx="1524000" cy="428625"/>
        </a:xfrm>
        <a:prstGeom prst="rect">
          <a:avLst/>
        </a:prstGeom>
        <a:noFill/>
        <a:ln w="9525" cmpd="sng">
          <a:noFill/>
        </a:ln>
      </xdr:spPr>
    </xdr:pic>
    <xdr:clientData/>
  </xdr:twoCellAnchor>
  <xdr:twoCellAnchor>
    <xdr:from>
      <xdr:col>1</xdr:col>
      <xdr:colOff>533400</xdr:colOff>
      <xdr:row>18</xdr:row>
      <xdr:rowOff>66675</xdr:rowOff>
    </xdr:from>
    <xdr:to>
      <xdr:col>2</xdr:col>
      <xdr:colOff>476250</xdr:colOff>
      <xdr:row>22</xdr:row>
      <xdr:rowOff>85725</xdr:rowOff>
    </xdr:to>
    <xdr:pic>
      <xdr:nvPicPr>
        <xdr:cNvPr id="18" name="Picture 4"/>
        <xdr:cNvPicPr preferRelativeResize="1">
          <a:picLocks noChangeAspect="1"/>
        </xdr:cNvPicPr>
      </xdr:nvPicPr>
      <xdr:blipFill>
        <a:blip r:embed="rId2"/>
        <a:stretch>
          <a:fillRect/>
        </a:stretch>
      </xdr:blipFill>
      <xdr:spPr>
        <a:xfrm>
          <a:off x="781050" y="2981325"/>
          <a:ext cx="666750" cy="666750"/>
        </a:xfrm>
        <a:prstGeom prst="rect">
          <a:avLst/>
        </a:prstGeom>
        <a:noFill/>
        <a:ln w="9525" cmpd="sng">
          <a:noFill/>
        </a:ln>
      </xdr:spPr>
    </xdr:pic>
    <xdr:clientData/>
  </xdr:twoCellAnchor>
  <xdr:twoCellAnchor>
    <xdr:from>
      <xdr:col>8</xdr:col>
      <xdr:colOff>371475</xdr:colOff>
      <xdr:row>17</xdr:row>
      <xdr:rowOff>152400</xdr:rowOff>
    </xdr:from>
    <xdr:to>
      <xdr:col>9</xdr:col>
      <xdr:colOff>485775</xdr:colOff>
      <xdr:row>22</xdr:row>
      <xdr:rowOff>66675</xdr:rowOff>
    </xdr:to>
    <xdr:pic>
      <xdr:nvPicPr>
        <xdr:cNvPr id="19" name="Picture 5" descr="Picture"/>
        <xdr:cNvPicPr preferRelativeResize="1">
          <a:picLocks noChangeAspect="1"/>
        </xdr:cNvPicPr>
      </xdr:nvPicPr>
      <xdr:blipFill>
        <a:blip r:link="rId3"/>
        <a:stretch>
          <a:fillRect/>
        </a:stretch>
      </xdr:blipFill>
      <xdr:spPr>
        <a:xfrm>
          <a:off x="6667500" y="2905125"/>
          <a:ext cx="723900"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12</xdr:row>
      <xdr:rowOff>76200</xdr:rowOff>
    </xdr:from>
    <xdr:to>
      <xdr:col>3</xdr:col>
      <xdr:colOff>276225</xdr:colOff>
      <xdr:row>13</xdr:row>
      <xdr:rowOff>161925</xdr:rowOff>
    </xdr:to>
    <xdr:sp>
      <xdr:nvSpPr>
        <xdr:cNvPr id="1" name="Line 5"/>
        <xdr:cNvSpPr>
          <a:spLocks/>
        </xdr:cNvSpPr>
      </xdr:nvSpPr>
      <xdr:spPr>
        <a:xfrm>
          <a:off x="5619750" y="26955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12</xdr:row>
      <xdr:rowOff>76200</xdr:rowOff>
    </xdr:from>
    <xdr:to>
      <xdr:col>2</xdr:col>
      <xdr:colOff>428625</xdr:colOff>
      <xdr:row>13</xdr:row>
      <xdr:rowOff>161925</xdr:rowOff>
    </xdr:to>
    <xdr:sp>
      <xdr:nvSpPr>
        <xdr:cNvPr id="2" name="Line 7"/>
        <xdr:cNvSpPr>
          <a:spLocks/>
        </xdr:cNvSpPr>
      </xdr:nvSpPr>
      <xdr:spPr>
        <a:xfrm>
          <a:off x="4781550" y="26955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14</xdr:row>
      <xdr:rowOff>57150</xdr:rowOff>
    </xdr:from>
    <xdr:to>
      <xdr:col>4</xdr:col>
      <xdr:colOff>428625</xdr:colOff>
      <xdr:row>15</xdr:row>
      <xdr:rowOff>142875</xdr:rowOff>
    </xdr:to>
    <xdr:sp>
      <xdr:nvSpPr>
        <xdr:cNvPr id="1" name="Shape 26626"/>
        <xdr:cNvSpPr>
          <a:spLocks/>
        </xdr:cNvSpPr>
      </xdr:nvSpPr>
      <xdr:spPr>
        <a:xfrm>
          <a:off x="5734050" y="33147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14</xdr:row>
      <xdr:rowOff>76200</xdr:rowOff>
    </xdr:from>
    <xdr:to>
      <xdr:col>3</xdr:col>
      <xdr:colOff>257175</xdr:colOff>
      <xdr:row>15</xdr:row>
      <xdr:rowOff>161925</xdr:rowOff>
    </xdr:to>
    <xdr:sp>
      <xdr:nvSpPr>
        <xdr:cNvPr id="2" name="Shape 26628"/>
        <xdr:cNvSpPr>
          <a:spLocks/>
        </xdr:cNvSpPr>
      </xdr:nvSpPr>
      <xdr:spPr>
        <a:xfrm>
          <a:off x="4657725" y="33337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37</xdr:row>
      <xdr:rowOff>76200</xdr:rowOff>
    </xdr:from>
    <xdr:to>
      <xdr:col>3</xdr:col>
      <xdr:colOff>342900</xdr:colOff>
      <xdr:row>38</xdr:row>
      <xdr:rowOff>161925</xdr:rowOff>
    </xdr:to>
    <xdr:sp>
      <xdr:nvSpPr>
        <xdr:cNvPr id="3" name="Shape 26636"/>
        <xdr:cNvSpPr>
          <a:spLocks/>
        </xdr:cNvSpPr>
      </xdr:nvSpPr>
      <xdr:spPr>
        <a:xfrm>
          <a:off x="4743450" y="75723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37</xdr:row>
      <xdr:rowOff>76200</xdr:rowOff>
    </xdr:from>
    <xdr:to>
      <xdr:col>2</xdr:col>
      <xdr:colOff>428625</xdr:colOff>
      <xdr:row>38</xdr:row>
      <xdr:rowOff>161925</xdr:rowOff>
    </xdr:to>
    <xdr:sp>
      <xdr:nvSpPr>
        <xdr:cNvPr id="4" name="Shape 26638"/>
        <xdr:cNvSpPr>
          <a:spLocks/>
        </xdr:cNvSpPr>
      </xdr:nvSpPr>
      <xdr:spPr>
        <a:xfrm>
          <a:off x="4095750" y="75723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49</xdr:row>
      <xdr:rowOff>47625</xdr:rowOff>
    </xdr:from>
    <xdr:to>
      <xdr:col>2</xdr:col>
      <xdr:colOff>314325</xdr:colOff>
      <xdr:row>50</xdr:row>
      <xdr:rowOff>133350</xdr:rowOff>
    </xdr:to>
    <xdr:sp>
      <xdr:nvSpPr>
        <xdr:cNvPr id="5" name="Line 1"/>
        <xdr:cNvSpPr>
          <a:spLocks/>
        </xdr:cNvSpPr>
      </xdr:nvSpPr>
      <xdr:spPr>
        <a:xfrm>
          <a:off x="3981450" y="96869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8</xdr:row>
      <xdr:rowOff>57150</xdr:rowOff>
    </xdr:from>
    <xdr:to>
      <xdr:col>3</xdr:col>
      <xdr:colOff>447675</xdr:colOff>
      <xdr:row>9</xdr:row>
      <xdr:rowOff>142875</xdr:rowOff>
    </xdr:to>
    <xdr:sp>
      <xdr:nvSpPr>
        <xdr:cNvPr id="1" name="Line 2"/>
        <xdr:cNvSpPr>
          <a:spLocks/>
        </xdr:cNvSpPr>
      </xdr:nvSpPr>
      <xdr:spPr>
        <a:xfrm>
          <a:off x="5848350" y="13525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8</xdr:row>
      <xdr:rowOff>76200</xdr:rowOff>
    </xdr:from>
    <xdr:to>
      <xdr:col>2</xdr:col>
      <xdr:colOff>314325</xdr:colOff>
      <xdr:row>9</xdr:row>
      <xdr:rowOff>161925</xdr:rowOff>
    </xdr:to>
    <xdr:sp>
      <xdr:nvSpPr>
        <xdr:cNvPr id="2" name="Line 4"/>
        <xdr:cNvSpPr>
          <a:spLocks/>
        </xdr:cNvSpPr>
      </xdr:nvSpPr>
      <xdr:spPr>
        <a:xfrm>
          <a:off x="4838700" y="13716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3</xdr:row>
      <xdr:rowOff>142875</xdr:rowOff>
    </xdr:from>
    <xdr:to>
      <xdr:col>6</xdr:col>
      <xdr:colOff>247650</xdr:colOff>
      <xdr:row>24</xdr:row>
      <xdr:rowOff>38100</xdr:rowOff>
    </xdr:to>
    <xdr:graphicFrame>
      <xdr:nvGraphicFramePr>
        <xdr:cNvPr id="1" name="paybacks0"/>
        <xdr:cNvGraphicFramePr/>
      </xdr:nvGraphicFramePr>
      <xdr:xfrm>
        <a:off x="504825" y="628650"/>
        <a:ext cx="4314825" cy="3295650"/>
      </xdr:xfrm>
      <a:graphic>
        <a:graphicData uri="http://schemas.openxmlformats.org/drawingml/2006/chart">
          <c:chart xmlns:c="http://schemas.openxmlformats.org/drawingml/2006/chart" r:id="rId1"/>
        </a:graphicData>
      </a:graphic>
    </xdr:graphicFrame>
    <xdr:clientData/>
  </xdr:twoCellAnchor>
  <xdr:twoCellAnchor>
    <xdr:from>
      <xdr:col>6</xdr:col>
      <xdr:colOff>504825</xdr:colOff>
      <xdr:row>3</xdr:row>
      <xdr:rowOff>142875</xdr:rowOff>
    </xdr:from>
    <xdr:to>
      <xdr:col>12</xdr:col>
      <xdr:colOff>247650</xdr:colOff>
      <xdr:row>24</xdr:row>
      <xdr:rowOff>38100</xdr:rowOff>
    </xdr:to>
    <xdr:graphicFrame>
      <xdr:nvGraphicFramePr>
        <xdr:cNvPr id="2" name="npvs0"/>
        <xdr:cNvGraphicFramePr/>
      </xdr:nvGraphicFramePr>
      <xdr:xfrm>
        <a:off x="5076825" y="628650"/>
        <a:ext cx="4314825" cy="3295650"/>
      </xdr:xfrm>
      <a:graphic>
        <a:graphicData uri="http://schemas.openxmlformats.org/drawingml/2006/chart">
          <c:chart xmlns:c="http://schemas.openxmlformats.org/drawingml/2006/chart" r:id="rId2"/>
        </a:graphicData>
      </a:graphic>
    </xdr:graphicFrame>
    <xdr:clientData/>
  </xdr:twoCellAnchor>
  <xdr:twoCellAnchor>
    <xdr:from>
      <xdr:col>0</xdr:col>
      <xdr:colOff>504825</xdr:colOff>
      <xdr:row>25</xdr:row>
      <xdr:rowOff>142875</xdr:rowOff>
    </xdr:from>
    <xdr:to>
      <xdr:col>6</xdr:col>
      <xdr:colOff>247650</xdr:colOff>
      <xdr:row>46</xdr:row>
      <xdr:rowOff>38100</xdr:rowOff>
    </xdr:to>
    <xdr:graphicFrame>
      <xdr:nvGraphicFramePr>
        <xdr:cNvPr id="3" name="paybacks1"/>
        <xdr:cNvGraphicFramePr/>
      </xdr:nvGraphicFramePr>
      <xdr:xfrm>
        <a:off x="504825" y="4191000"/>
        <a:ext cx="4314825" cy="3295650"/>
      </xdr:xfrm>
      <a:graphic>
        <a:graphicData uri="http://schemas.openxmlformats.org/drawingml/2006/chart">
          <c:chart xmlns:c="http://schemas.openxmlformats.org/drawingml/2006/chart" r:id="rId3"/>
        </a:graphicData>
      </a:graphic>
    </xdr:graphicFrame>
    <xdr:clientData/>
  </xdr:twoCellAnchor>
  <xdr:twoCellAnchor>
    <xdr:from>
      <xdr:col>6</xdr:col>
      <xdr:colOff>504825</xdr:colOff>
      <xdr:row>25</xdr:row>
      <xdr:rowOff>142875</xdr:rowOff>
    </xdr:from>
    <xdr:to>
      <xdr:col>12</xdr:col>
      <xdr:colOff>247650</xdr:colOff>
      <xdr:row>46</xdr:row>
      <xdr:rowOff>38100</xdr:rowOff>
    </xdr:to>
    <xdr:graphicFrame>
      <xdr:nvGraphicFramePr>
        <xdr:cNvPr id="4" name="npvs1"/>
        <xdr:cNvGraphicFramePr/>
      </xdr:nvGraphicFramePr>
      <xdr:xfrm>
        <a:off x="5076825" y="4191000"/>
        <a:ext cx="4314825" cy="3295650"/>
      </xdr:xfrm>
      <a:graphic>
        <a:graphicData uri="http://schemas.openxmlformats.org/drawingml/2006/chart">
          <c:chart xmlns:c="http://schemas.openxmlformats.org/drawingml/2006/chart" r:id="rId4"/>
        </a:graphicData>
      </a:graphic>
    </xdr:graphicFrame>
    <xdr:clientData/>
  </xdr:twoCellAnchor>
  <xdr:twoCellAnchor>
    <xdr:from>
      <xdr:col>0</xdr:col>
      <xdr:colOff>504825</xdr:colOff>
      <xdr:row>47</xdr:row>
      <xdr:rowOff>133350</xdr:rowOff>
    </xdr:from>
    <xdr:to>
      <xdr:col>6</xdr:col>
      <xdr:colOff>247650</xdr:colOff>
      <xdr:row>68</xdr:row>
      <xdr:rowOff>28575</xdr:rowOff>
    </xdr:to>
    <xdr:graphicFrame>
      <xdr:nvGraphicFramePr>
        <xdr:cNvPr id="5" name="paybacks2"/>
        <xdr:cNvGraphicFramePr/>
      </xdr:nvGraphicFramePr>
      <xdr:xfrm>
        <a:off x="504825" y="7743825"/>
        <a:ext cx="4314825" cy="3295650"/>
      </xdr:xfrm>
      <a:graphic>
        <a:graphicData uri="http://schemas.openxmlformats.org/drawingml/2006/chart">
          <c:chart xmlns:c="http://schemas.openxmlformats.org/drawingml/2006/chart" r:id="rId5"/>
        </a:graphicData>
      </a:graphic>
    </xdr:graphicFrame>
    <xdr:clientData/>
  </xdr:twoCellAnchor>
  <xdr:twoCellAnchor>
    <xdr:from>
      <xdr:col>6</xdr:col>
      <xdr:colOff>504825</xdr:colOff>
      <xdr:row>47</xdr:row>
      <xdr:rowOff>133350</xdr:rowOff>
    </xdr:from>
    <xdr:to>
      <xdr:col>12</xdr:col>
      <xdr:colOff>247650</xdr:colOff>
      <xdr:row>68</xdr:row>
      <xdr:rowOff>28575</xdr:rowOff>
    </xdr:to>
    <xdr:graphicFrame>
      <xdr:nvGraphicFramePr>
        <xdr:cNvPr id="6" name="npvs2"/>
        <xdr:cNvGraphicFramePr/>
      </xdr:nvGraphicFramePr>
      <xdr:xfrm>
        <a:off x="5076825" y="7743825"/>
        <a:ext cx="4314825" cy="3295650"/>
      </xdr:xfrm>
      <a:graphic>
        <a:graphicData uri="http://schemas.openxmlformats.org/drawingml/2006/chart">
          <c:chart xmlns:c="http://schemas.openxmlformats.org/drawingml/2006/chart" r:id="rId6"/>
        </a:graphicData>
      </a:graphic>
    </xdr:graphicFrame>
    <xdr:clientData/>
  </xdr:twoCellAnchor>
  <xdr:twoCellAnchor>
    <xdr:from>
      <xdr:col>0</xdr:col>
      <xdr:colOff>504825</xdr:colOff>
      <xdr:row>69</xdr:row>
      <xdr:rowOff>123825</xdr:rowOff>
    </xdr:from>
    <xdr:to>
      <xdr:col>6</xdr:col>
      <xdr:colOff>247650</xdr:colOff>
      <xdr:row>90</xdr:row>
      <xdr:rowOff>19050</xdr:rowOff>
    </xdr:to>
    <xdr:graphicFrame>
      <xdr:nvGraphicFramePr>
        <xdr:cNvPr id="7" name="paybacks3"/>
        <xdr:cNvGraphicFramePr/>
      </xdr:nvGraphicFramePr>
      <xdr:xfrm>
        <a:off x="504825" y="11296650"/>
        <a:ext cx="4314825" cy="3295650"/>
      </xdr:xfrm>
      <a:graphic>
        <a:graphicData uri="http://schemas.openxmlformats.org/drawingml/2006/chart">
          <c:chart xmlns:c="http://schemas.openxmlformats.org/drawingml/2006/chart" r:id="rId7"/>
        </a:graphicData>
      </a:graphic>
    </xdr:graphicFrame>
    <xdr:clientData/>
  </xdr:twoCellAnchor>
  <xdr:twoCellAnchor>
    <xdr:from>
      <xdr:col>6</xdr:col>
      <xdr:colOff>504825</xdr:colOff>
      <xdr:row>69</xdr:row>
      <xdr:rowOff>123825</xdr:rowOff>
    </xdr:from>
    <xdr:to>
      <xdr:col>12</xdr:col>
      <xdr:colOff>247650</xdr:colOff>
      <xdr:row>90</xdr:row>
      <xdr:rowOff>19050</xdr:rowOff>
    </xdr:to>
    <xdr:graphicFrame>
      <xdr:nvGraphicFramePr>
        <xdr:cNvPr id="8" name="npvs3"/>
        <xdr:cNvGraphicFramePr/>
      </xdr:nvGraphicFramePr>
      <xdr:xfrm>
        <a:off x="5076825" y="11296650"/>
        <a:ext cx="4314825" cy="3295650"/>
      </xdr:xfrm>
      <a:graphic>
        <a:graphicData uri="http://schemas.openxmlformats.org/drawingml/2006/chart">
          <c:chart xmlns:c="http://schemas.openxmlformats.org/drawingml/2006/chart" r:id="rId8"/>
        </a:graphicData>
      </a:graphic>
    </xdr:graphicFrame>
    <xdr:clientData/>
  </xdr:twoCellAnchor>
  <xdr:twoCellAnchor>
    <xdr:from>
      <xdr:col>0</xdr:col>
      <xdr:colOff>504825</xdr:colOff>
      <xdr:row>91</xdr:row>
      <xdr:rowOff>123825</xdr:rowOff>
    </xdr:from>
    <xdr:to>
      <xdr:col>6</xdr:col>
      <xdr:colOff>247650</xdr:colOff>
      <xdr:row>112</xdr:row>
      <xdr:rowOff>19050</xdr:rowOff>
    </xdr:to>
    <xdr:graphicFrame>
      <xdr:nvGraphicFramePr>
        <xdr:cNvPr id="9" name="paybacks4"/>
        <xdr:cNvGraphicFramePr/>
      </xdr:nvGraphicFramePr>
      <xdr:xfrm>
        <a:off x="504825" y="14859000"/>
        <a:ext cx="4314825" cy="3295650"/>
      </xdr:xfrm>
      <a:graphic>
        <a:graphicData uri="http://schemas.openxmlformats.org/drawingml/2006/chart">
          <c:chart xmlns:c="http://schemas.openxmlformats.org/drawingml/2006/chart" r:id="rId9"/>
        </a:graphicData>
      </a:graphic>
    </xdr:graphicFrame>
    <xdr:clientData/>
  </xdr:twoCellAnchor>
  <xdr:twoCellAnchor>
    <xdr:from>
      <xdr:col>6</xdr:col>
      <xdr:colOff>504825</xdr:colOff>
      <xdr:row>91</xdr:row>
      <xdr:rowOff>123825</xdr:rowOff>
    </xdr:from>
    <xdr:to>
      <xdr:col>12</xdr:col>
      <xdr:colOff>247650</xdr:colOff>
      <xdr:row>112</xdr:row>
      <xdr:rowOff>19050</xdr:rowOff>
    </xdr:to>
    <xdr:graphicFrame>
      <xdr:nvGraphicFramePr>
        <xdr:cNvPr id="10" name="npvs4"/>
        <xdr:cNvGraphicFramePr/>
      </xdr:nvGraphicFramePr>
      <xdr:xfrm>
        <a:off x="5076825" y="14859000"/>
        <a:ext cx="4314825" cy="3295650"/>
      </xdr:xfrm>
      <a:graphic>
        <a:graphicData uri="http://schemas.openxmlformats.org/drawingml/2006/chart">
          <c:chart xmlns:c="http://schemas.openxmlformats.org/drawingml/2006/chart" r:id="rId10"/>
        </a:graphicData>
      </a:graphic>
    </xdr:graphicFrame>
    <xdr:clientData/>
  </xdr:twoCellAnchor>
  <xdr:twoCellAnchor>
    <xdr:from>
      <xdr:col>0</xdr:col>
      <xdr:colOff>504825</xdr:colOff>
      <xdr:row>113</xdr:row>
      <xdr:rowOff>114300</xdr:rowOff>
    </xdr:from>
    <xdr:to>
      <xdr:col>6</xdr:col>
      <xdr:colOff>247650</xdr:colOff>
      <xdr:row>134</xdr:row>
      <xdr:rowOff>9525</xdr:rowOff>
    </xdr:to>
    <xdr:graphicFrame>
      <xdr:nvGraphicFramePr>
        <xdr:cNvPr id="11" name="paybacks5"/>
        <xdr:cNvGraphicFramePr/>
      </xdr:nvGraphicFramePr>
      <xdr:xfrm>
        <a:off x="504825" y="18411825"/>
        <a:ext cx="4314825" cy="3295650"/>
      </xdr:xfrm>
      <a:graphic>
        <a:graphicData uri="http://schemas.openxmlformats.org/drawingml/2006/chart">
          <c:chart xmlns:c="http://schemas.openxmlformats.org/drawingml/2006/chart" r:id="rId11"/>
        </a:graphicData>
      </a:graphic>
    </xdr:graphicFrame>
    <xdr:clientData/>
  </xdr:twoCellAnchor>
  <xdr:twoCellAnchor>
    <xdr:from>
      <xdr:col>6</xdr:col>
      <xdr:colOff>504825</xdr:colOff>
      <xdr:row>113</xdr:row>
      <xdr:rowOff>114300</xdr:rowOff>
    </xdr:from>
    <xdr:to>
      <xdr:col>12</xdr:col>
      <xdr:colOff>247650</xdr:colOff>
      <xdr:row>134</xdr:row>
      <xdr:rowOff>9525</xdr:rowOff>
    </xdr:to>
    <xdr:graphicFrame>
      <xdr:nvGraphicFramePr>
        <xdr:cNvPr id="12" name="npvs5"/>
        <xdr:cNvGraphicFramePr/>
      </xdr:nvGraphicFramePr>
      <xdr:xfrm>
        <a:off x="5076825" y="18411825"/>
        <a:ext cx="4314825" cy="3295650"/>
      </xdr:xfrm>
      <a:graphic>
        <a:graphicData uri="http://schemas.openxmlformats.org/drawingml/2006/chart">
          <c:chart xmlns:c="http://schemas.openxmlformats.org/drawingml/2006/chart" r:id="rId12"/>
        </a:graphicData>
      </a:graphic>
    </xdr:graphicFrame>
    <xdr:clientData/>
  </xdr:twoCellAnchor>
  <xdr:twoCellAnchor>
    <xdr:from>
      <xdr:col>0</xdr:col>
      <xdr:colOff>504825</xdr:colOff>
      <xdr:row>135</xdr:row>
      <xdr:rowOff>104775</xdr:rowOff>
    </xdr:from>
    <xdr:to>
      <xdr:col>6</xdr:col>
      <xdr:colOff>247650</xdr:colOff>
      <xdr:row>156</xdr:row>
      <xdr:rowOff>0</xdr:rowOff>
    </xdr:to>
    <xdr:graphicFrame>
      <xdr:nvGraphicFramePr>
        <xdr:cNvPr id="13" name="paybacks6"/>
        <xdr:cNvGraphicFramePr/>
      </xdr:nvGraphicFramePr>
      <xdr:xfrm>
        <a:off x="504825" y="21964650"/>
        <a:ext cx="4314825" cy="3295650"/>
      </xdr:xfrm>
      <a:graphic>
        <a:graphicData uri="http://schemas.openxmlformats.org/drawingml/2006/chart">
          <c:chart xmlns:c="http://schemas.openxmlformats.org/drawingml/2006/chart" r:id="rId13"/>
        </a:graphicData>
      </a:graphic>
    </xdr:graphicFrame>
    <xdr:clientData/>
  </xdr:twoCellAnchor>
  <xdr:twoCellAnchor>
    <xdr:from>
      <xdr:col>6</xdr:col>
      <xdr:colOff>504825</xdr:colOff>
      <xdr:row>135</xdr:row>
      <xdr:rowOff>104775</xdr:rowOff>
    </xdr:from>
    <xdr:to>
      <xdr:col>12</xdr:col>
      <xdr:colOff>247650</xdr:colOff>
      <xdr:row>156</xdr:row>
      <xdr:rowOff>0</xdr:rowOff>
    </xdr:to>
    <xdr:graphicFrame>
      <xdr:nvGraphicFramePr>
        <xdr:cNvPr id="14" name="npvs6"/>
        <xdr:cNvGraphicFramePr/>
      </xdr:nvGraphicFramePr>
      <xdr:xfrm>
        <a:off x="5076825" y="21964650"/>
        <a:ext cx="4314825" cy="3295650"/>
      </xdr:xfrm>
      <a:graphic>
        <a:graphicData uri="http://schemas.openxmlformats.org/drawingml/2006/chart">
          <c:chart xmlns:c="http://schemas.openxmlformats.org/drawingml/2006/chart" r:id="rId14"/>
        </a:graphicData>
      </a:graphic>
    </xdr:graphicFrame>
    <xdr:clientData/>
  </xdr:twoCellAnchor>
  <xdr:twoCellAnchor>
    <xdr:from>
      <xdr:col>0</xdr:col>
      <xdr:colOff>504825</xdr:colOff>
      <xdr:row>157</xdr:row>
      <xdr:rowOff>104775</xdr:rowOff>
    </xdr:from>
    <xdr:to>
      <xdr:col>6</xdr:col>
      <xdr:colOff>247650</xdr:colOff>
      <xdr:row>178</xdr:row>
      <xdr:rowOff>0</xdr:rowOff>
    </xdr:to>
    <xdr:graphicFrame>
      <xdr:nvGraphicFramePr>
        <xdr:cNvPr id="15" name="paybacks7"/>
        <xdr:cNvGraphicFramePr/>
      </xdr:nvGraphicFramePr>
      <xdr:xfrm>
        <a:off x="504825" y="25527000"/>
        <a:ext cx="4314825" cy="3295650"/>
      </xdr:xfrm>
      <a:graphic>
        <a:graphicData uri="http://schemas.openxmlformats.org/drawingml/2006/chart">
          <c:chart xmlns:c="http://schemas.openxmlformats.org/drawingml/2006/chart" r:id="rId15"/>
        </a:graphicData>
      </a:graphic>
    </xdr:graphicFrame>
    <xdr:clientData/>
  </xdr:twoCellAnchor>
  <xdr:twoCellAnchor>
    <xdr:from>
      <xdr:col>6</xdr:col>
      <xdr:colOff>504825</xdr:colOff>
      <xdr:row>157</xdr:row>
      <xdr:rowOff>104775</xdr:rowOff>
    </xdr:from>
    <xdr:to>
      <xdr:col>12</xdr:col>
      <xdr:colOff>247650</xdr:colOff>
      <xdr:row>178</xdr:row>
      <xdr:rowOff>0</xdr:rowOff>
    </xdr:to>
    <xdr:graphicFrame>
      <xdr:nvGraphicFramePr>
        <xdr:cNvPr id="16" name="npvs7"/>
        <xdr:cNvGraphicFramePr/>
      </xdr:nvGraphicFramePr>
      <xdr:xfrm>
        <a:off x="5076825" y="25527000"/>
        <a:ext cx="4314825" cy="3295650"/>
      </xdr:xfrm>
      <a:graphic>
        <a:graphicData uri="http://schemas.openxmlformats.org/drawingml/2006/chart">
          <c:chart xmlns:c="http://schemas.openxmlformats.org/drawingml/2006/chart" r:id="rId16"/>
        </a:graphicData>
      </a:graphic>
    </xdr:graphicFrame>
    <xdr:clientData/>
  </xdr:twoCellAnchor>
  <xdr:twoCellAnchor>
    <xdr:from>
      <xdr:col>0</xdr:col>
      <xdr:colOff>504825</xdr:colOff>
      <xdr:row>179</xdr:row>
      <xdr:rowOff>95250</xdr:rowOff>
    </xdr:from>
    <xdr:to>
      <xdr:col>6</xdr:col>
      <xdr:colOff>247650</xdr:colOff>
      <xdr:row>199</xdr:row>
      <xdr:rowOff>152400</xdr:rowOff>
    </xdr:to>
    <xdr:graphicFrame>
      <xdr:nvGraphicFramePr>
        <xdr:cNvPr id="17" name="paybacks8"/>
        <xdr:cNvGraphicFramePr/>
      </xdr:nvGraphicFramePr>
      <xdr:xfrm>
        <a:off x="504825" y="29079825"/>
        <a:ext cx="4314825" cy="3295650"/>
      </xdr:xfrm>
      <a:graphic>
        <a:graphicData uri="http://schemas.openxmlformats.org/drawingml/2006/chart">
          <c:chart xmlns:c="http://schemas.openxmlformats.org/drawingml/2006/chart" r:id="rId17"/>
        </a:graphicData>
      </a:graphic>
    </xdr:graphicFrame>
    <xdr:clientData/>
  </xdr:twoCellAnchor>
  <xdr:twoCellAnchor>
    <xdr:from>
      <xdr:col>6</xdr:col>
      <xdr:colOff>504825</xdr:colOff>
      <xdr:row>179</xdr:row>
      <xdr:rowOff>95250</xdr:rowOff>
    </xdr:from>
    <xdr:to>
      <xdr:col>12</xdr:col>
      <xdr:colOff>247650</xdr:colOff>
      <xdr:row>199</xdr:row>
      <xdr:rowOff>152400</xdr:rowOff>
    </xdr:to>
    <xdr:graphicFrame>
      <xdr:nvGraphicFramePr>
        <xdr:cNvPr id="18" name="npvs8"/>
        <xdr:cNvGraphicFramePr/>
      </xdr:nvGraphicFramePr>
      <xdr:xfrm>
        <a:off x="5076825" y="29079825"/>
        <a:ext cx="4314825" cy="3295650"/>
      </xdr:xfrm>
      <a:graphic>
        <a:graphicData uri="http://schemas.openxmlformats.org/drawingml/2006/chart">
          <c:chart xmlns:c="http://schemas.openxmlformats.org/drawingml/2006/chart" r:id="rId18"/>
        </a:graphicData>
      </a:graphic>
    </xdr:graphicFrame>
    <xdr:clientData/>
  </xdr:twoCellAnchor>
  <xdr:twoCellAnchor>
    <xdr:from>
      <xdr:col>0</xdr:col>
      <xdr:colOff>504825</xdr:colOff>
      <xdr:row>201</xdr:row>
      <xdr:rowOff>85725</xdr:rowOff>
    </xdr:from>
    <xdr:to>
      <xdr:col>6</xdr:col>
      <xdr:colOff>247650</xdr:colOff>
      <xdr:row>221</xdr:row>
      <xdr:rowOff>142875</xdr:rowOff>
    </xdr:to>
    <xdr:graphicFrame>
      <xdr:nvGraphicFramePr>
        <xdr:cNvPr id="19" name="paybacks9"/>
        <xdr:cNvGraphicFramePr/>
      </xdr:nvGraphicFramePr>
      <xdr:xfrm>
        <a:off x="504825" y="32632650"/>
        <a:ext cx="4314825" cy="3295650"/>
      </xdr:xfrm>
      <a:graphic>
        <a:graphicData uri="http://schemas.openxmlformats.org/drawingml/2006/chart">
          <c:chart xmlns:c="http://schemas.openxmlformats.org/drawingml/2006/chart" r:id="rId19"/>
        </a:graphicData>
      </a:graphic>
    </xdr:graphicFrame>
    <xdr:clientData/>
  </xdr:twoCellAnchor>
  <xdr:twoCellAnchor>
    <xdr:from>
      <xdr:col>6</xdr:col>
      <xdr:colOff>504825</xdr:colOff>
      <xdr:row>201</xdr:row>
      <xdr:rowOff>85725</xdr:rowOff>
    </xdr:from>
    <xdr:to>
      <xdr:col>12</xdr:col>
      <xdr:colOff>247650</xdr:colOff>
      <xdr:row>221</xdr:row>
      <xdr:rowOff>142875</xdr:rowOff>
    </xdr:to>
    <xdr:graphicFrame>
      <xdr:nvGraphicFramePr>
        <xdr:cNvPr id="20" name="npvs9"/>
        <xdr:cNvGraphicFramePr/>
      </xdr:nvGraphicFramePr>
      <xdr:xfrm>
        <a:off x="5076825" y="32632650"/>
        <a:ext cx="4314825" cy="3295650"/>
      </xdr:xfrm>
      <a:graphic>
        <a:graphicData uri="http://schemas.openxmlformats.org/drawingml/2006/chart">
          <c:chart xmlns:c="http://schemas.openxmlformats.org/drawingml/2006/chart" r:id="rId20"/>
        </a:graphicData>
      </a:graphic>
    </xdr:graphicFrame>
    <xdr:clientData/>
  </xdr:twoCellAnchor>
  <xdr:twoCellAnchor>
    <xdr:from>
      <xdr:col>0</xdr:col>
      <xdr:colOff>504825</xdr:colOff>
      <xdr:row>223</xdr:row>
      <xdr:rowOff>85725</xdr:rowOff>
    </xdr:from>
    <xdr:to>
      <xdr:col>6</xdr:col>
      <xdr:colOff>247650</xdr:colOff>
      <xdr:row>243</xdr:row>
      <xdr:rowOff>142875</xdr:rowOff>
    </xdr:to>
    <xdr:graphicFrame>
      <xdr:nvGraphicFramePr>
        <xdr:cNvPr id="21" name="paybacks10"/>
        <xdr:cNvGraphicFramePr/>
      </xdr:nvGraphicFramePr>
      <xdr:xfrm>
        <a:off x="504825" y="36195000"/>
        <a:ext cx="4314825" cy="3295650"/>
      </xdr:xfrm>
      <a:graphic>
        <a:graphicData uri="http://schemas.openxmlformats.org/drawingml/2006/chart">
          <c:chart xmlns:c="http://schemas.openxmlformats.org/drawingml/2006/chart" r:id="rId21"/>
        </a:graphicData>
      </a:graphic>
    </xdr:graphicFrame>
    <xdr:clientData/>
  </xdr:twoCellAnchor>
  <xdr:twoCellAnchor>
    <xdr:from>
      <xdr:col>6</xdr:col>
      <xdr:colOff>504825</xdr:colOff>
      <xdr:row>223</xdr:row>
      <xdr:rowOff>85725</xdr:rowOff>
    </xdr:from>
    <xdr:to>
      <xdr:col>12</xdr:col>
      <xdr:colOff>247650</xdr:colOff>
      <xdr:row>243</xdr:row>
      <xdr:rowOff>142875</xdr:rowOff>
    </xdr:to>
    <xdr:graphicFrame>
      <xdr:nvGraphicFramePr>
        <xdr:cNvPr id="22" name="npvs10"/>
        <xdr:cNvGraphicFramePr/>
      </xdr:nvGraphicFramePr>
      <xdr:xfrm>
        <a:off x="5076825" y="36195000"/>
        <a:ext cx="4314825" cy="3295650"/>
      </xdr:xfrm>
      <a:graphic>
        <a:graphicData uri="http://schemas.openxmlformats.org/drawingml/2006/chart">
          <c:chart xmlns:c="http://schemas.openxmlformats.org/drawingml/2006/chart" r:id="rId22"/>
        </a:graphicData>
      </a:graphic>
    </xdr:graphicFrame>
    <xdr:clientData/>
  </xdr:twoCellAnchor>
  <xdr:twoCellAnchor>
    <xdr:from>
      <xdr:col>0</xdr:col>
      <xdr:colOff>504825</xdr:colOff>
      <xdr:row>245</xdr:row>
      <xdr:rowOff>76200</xdr:rowOff>
    </xdr:from>
    <xdr:to>
      <xdr:col>6</xdr:col>
      <xdr:colOff>247650</xdr:colOff>
      <xdr:row>265</xdr:row>
      <xdr:rowOff>133350</xdr:rowOff>
    </xdr:to>
    <xdr:graphicFrame>
      <xdr:nvGraphicFramePr>
        <xdr:cNvPr id="23" name="paybacks11"/>
        <xdr:cNvGraphicFramePr/>
      </xdr:nvGraphicFramePr>
      <xdr:xfrm>
        <a:off x="504825" y="39747825"/>
        <a:ext cx="4314825" cy="3295650"/>
      </xdr:xfrm>
      <a:graphic>
        <a:graphicData uri="http://schemas.openxmlformats.org/drawingml/2006/chart">
          <c:chart xmlns:c="http://schemas.openxmlformats.org/drawingml/2006/chart" r:id="rId23"/>
        </a:graphicData>
      </a:graphic>
    </xdr:graphicFrame>
    <xdr:clientData/>
  </xdr:twoCellAnchor>
  <xdr:twoCellAnchor>
    <xdr:from>
      <xdr:col>6</xdr:col>
      <xdr:colOff>504825</xdr:colOff>
      <xdr:row>245</xdr:row>
      <xdr:rowOff>76200</xdr:rowOff>
    </xdr:from>
    <xdr:to>
      <xdr:col>12</xdr:col>
      <xdr:colOff>247650</xdr:colOff>
      <xdr:row>265</xdr:row>
      <xdr:rowOff>133350</xdr:rowOff>
    </xdr:to>
    <xdr:graphicFrame>
      <xdr:nvGraphicFramePr>
        <xdr:cNvPr id="24" name="npvs11"/>
        <xdr:cNvGraphicFramePr/>
      </xdr:nvGraphicFramePr>
      <xdr:xfrm>
        <a:off x="5076825" y="39747825"/>
        <a:ext cx="4314825" cy="3295650"/>
      </xdr:xfrm>
      <a:graphic>
        <a:graphicData uri="http://schemas.openxmlformats.org/drawingml/2006/chart">
          <c:chart xmlns:c="http://schemas.openxmlformats.org/drawingml/2006/chart" r:id="rId24"/>
        </a:graphicData>
      </a:graphic>
    </xdr:graphicFrame>
    <xdr:clientData/>
  </xdr:twoCellAnchor>
  <xdr:twoCellAnchor>
    <xdr:from>
      <xdr:col>0</xdr:col>
      <xdr:colOff>504825</xdr:colOff>
      <xdr:row>267</xdr:row>
      <xdr:rowOff>66675</xdr:rowOff>
    </xdr:from>
    <xdr:to>
      <xdr:col>6</xdr:col>
      <xdr:colOff>247650</xdr:colOff>
      <xdr:row>287</xdr:row>
      <xdr:rowOff>123825</xdr:rowOff>
    </xdr:to>
    <xdr:graphicFrame>
      <xdr:nvGraphicFramePr>
        <xdr:cNvPr id="25" name="paybacks12"/>
        <xdr:cNvGraphicFramePr/>
      </xdr:nvGraphicFramePr>
      <xdr:xfrm>
        <a:off x="504825" y="43300650"/>
        <a:ext cx="4314825" cy="3295650"/>
      </xdr:xfrm>
      <a:graphic>
        <a:graphicData uri="http://schemas.openxmlformats.org/drawingml/2006/chart">
          <c:chart xmlns:c="http://schemas.openxmlformats.org/drawingml/2006/chart" r:id="rId25"/>
        </a:graphicData>
      </a:graphic>
    </xdr:graphicFrame>
    <xdr:clientData/>
  </xdr:twoCellAnchor>
  <xdr:twoCellAnchor>
    <xdr:from>
      <xdr:col>6</xdr:col>
      <xdr:colOff>504825</xdr:colOff>
      <xdr:row>267</xdr:row>
      <xdr:rowOff>66675</xdr:rowOff>
    </xdr:from>
    <xdr:to>
      <xdr:col>12</xdr:col>
      <xdr:colOff>247650</xdr:colOff>
      <xdr:row>287</xdr:row>
      <xdr:rowOff>123825</xdr:rowOff>
    </xdr:to>
    <xdr:graphicFrame>
      <xdr:nvGraphicFramePr>
        <xdr:cNvPr id="26" name="npvs12"/>
        <xdr:cNvGraphicFramePr/>
      </xdr:nvGraphicFramePr>
      <xdr:xfrm>
        <a:off x="5076825" y="43300650"/>
        <a:ext cx="4314825" cy="3295650"/>
      </xdr:xfrm>
      <a:graphic>
        <a:graphicData uri="http://schemas.openxmlformats.org/drawingml/2006/chart">
          <c:chart xmlns:c="http://schemas.openxmlformats.org/drawingml/2006/chart" r:id="rId26"/>
        </a:graphicData>
      </a:graphic>
    </xdr:graphicFrame>
    <xdr:clientData/>
  </xdr:twoCellAnchor>
  <xdr:twoCellAnchor>
    <xdr:from>
      <xdr:col>0</xdr:col>
      <xdr:colOff>504825</xdr:colOff>
      <xdr:row>289</xdr:row>
      <xdr:rowOff>66675</xdr:rowOff>
    </xdr:from>
    <xdr:to>
      <xdr:col>6</xdr:col>
      <xdr:colOff>247650</xdr:colOff>
      <xdr:row>309</xdr:row>
      <xdr:rowOff>123825</xdr:rowOff>
    </xdr:to>
    <xdr:graphicFrame>
      <xdr:nvGraphicFramePr>
        <xdr:cNvPr id="27" name="paybacks13"/>
        <xdr:cNvGraphicFramePr/>
      </xdr:nvGraphicFramePr>
      <xdr:xfrm>
        <a:off x="504825" y="46863000"/>
        <a:ext cx="4314825" cy="3295650"/>
      </xdr:xfrm>
      <a:graphic>
        <a:graphicData uri="http://schemas.openxmlformats.org/drawingml/2006/chart">
          <c:chart xmlns:c="http://schemas.openxmlformats.org/drawingml/2006/chart" r:id="rId27"/>
        </a:graphicData>
      </a:graphic>
    </xdr:graphicFrame>
    <xdr:clientData/>
  </xdr:twoCellAnchor>
  <xdr:twoCellAnchor>
    <xdr:from>
      <xdr:col>6</xdr:col>
      <xdr:colOff>504825</xdr:colOff>
      <xdr:row>289</xdr:row>
      <xdr:rowOff>66675</xdr:rowOff>
    </xdr:from>
    <xdr:to>
      <xdr:col>12</xdr:col>
      <xdr:colOff>247650</xdr:colOff>
      <xdr:row>309</xdr:row>
      <xdr:rowOff>123825</xdr:rowOff>
    </xdr:to>
    <xdr:graphicFrame>
      <xdr:nvGraphicFramePr>
        <xdr:cNvPr id="28" name="npvs13"/>
        <xdr:cNvGraphicFramePr/>
      </xdr:nvGraphicFramePr>
      <xdr:xfrm>
        <a:off x="5076825" y="46863000"/>
        <a:ext cx="4314825" cy="3295650"/>
      </xdr:xfrm>
      <a:graphic>
        <a:graphicData uri="http://schemas.openxmlformats.org/drawingml/2006/chart">
          <c:chart xmlns:c="http://schemas.openxmlformats.org/drawingml/2006/chart" r:id="rId28"/>
        </a:graphicData>
      </a:graphic>
    </xdr:graphicFrame>
    <xdr:clientData/>
  </xdr:twoCellAnchor>
  <xdr:twoCellAnchor>
    <xdr:from>
      <xdr:col>0</xdr:col>
      <xdr:colOff>504825</xdr:colOff>
      <xdr:row>311</xdr:row>
      <xdr:rowOff>57150</xdr:rowOff>
    </xdr:from>
    <xdr:to>
      <xdr:col>6</xdr:col>
      <xdr:colOff>247650</xdr:colOff>
      <xdr:row>331</xdr:row>
      <xdr:rowOff>114300</xdr:rowOff>
    </xdr:to>
    <xdr:graphicFrame>
      <xdr:nvGraphicFramePr>
        <xdr:cNvPr id="29" name="paybacks14"/>
        <xdr:cNvGraphicFramePr/>
      </xdr:nvGraphicFramePr>
      <xdr:xfrm>
        <a:off x="504825" y="50415825"/>
        <a:ext cx="4314825" cy="3295650"/>
      </xdr:xfrm>
      <a:graphic>
        <a:graphicData uri="http://schemas.openxmlformats.org/drawingml/2006/chart">
          <c:chart xmlns:c="http://schemas.openxmlformats.org/drawingml/2006/chart" r:id="rId29"/>
        </a:graphicData>
      </a:graphic>
    </xdr:graphicFrame>
    <xdr:clientData/>
  </xdr:twoCellAnchor>
  <xdr:twoCellAnchor>
    <xdr:from>
      <xdr:col>6</xdr:col>
      <xdr:colOff>504825</xdr:colOff>
      <xdr:row>311</xdr:row>
      <xdr:rowOff>57150</xdr:rowOff>
    </xdr:from>
    <xdr:to>
      <xdr:col>12</xdr:col>
      <xdr:colOff>247650</xdr:colOff>
      <xdr:row>331</xdr:row>
      <xdr:rowOff>114300</xdr:rowOff>
    </xdr:to>
    <xdr:graphicFrame>
      <xdr:nvGraphicFramePr>
        <xdr:cNvPr id="30" name="npvs14"/>
        <xdr:cNvGraphicFramePr/>
      </xdr:nvGraphicFramePr>
      <xdr:xfrm>
        <a:off x="5076825" y="50415825"/>
        <a:ext cx="4314825" cy="3295650"/>
      </xdr:xfrm>
      <a:graphic>
        <a:graphicData uri="http://schemas.openxmlformats.org/drawingml/2006/chart">
          <c:chart xmlns:c="http://schemas.openxmlformats.org/drawingml/2006/chart" r:id="rId30"/>
        </a:graphicData>
      </a:graphic>
    </xdr:graphicFrame>
    <xdr:clientData/>
  </xdr:twoCellAnchor>
  <xdr:twoCellAnchor>
    <xdr:from>
      <xdr:col>0</xdr:col>
      <xdr:colOff>504825</xdr:colOff>
      <xdr:row>333</xdr:row>
      <xdr:rowOff>47625</xdr:rowOff>
    </xdr:from>
    <xdr:to>
      <xdr:col>6</xdr:col>
      <xdr:colOff>247650</xdr:colOff>
      <xdr:row>353</xdr:row>
      <xdr:rowOff>104775</xdr:rowOff>
    </xdr:to>
    <xdr:graphicFrame>
      <xdr:nvGraphicFramePr>
        <xdr:cNvPr id="31" name="paybacks15"/>
        <xdr:cNvGraphicFramePr/>
      </xdr:nvGraphicFramePr>
      <xdr:xfrm>
        <a:off x="504825" y="53968650"/>
        <a:ext cx="4314825" cy="3295650"/>
      </xdr:xfrm>
      <a:graphic>
        <a:graphicData uri="http://schemas.openxmlformats.org/drawingml/2006/chart">
          <c:chart xmlns:c="http://schemas.openxmlformats.org/drawingml/2006/chart" r:id="rId31"/>
        </a:graphicData>
      </a:graphic>
    </xdr:graphicFrame>
    <xdr:clientData/>
  </xdr:twoCellAnchor>
  <xdr:twoCellAnchor>
    <xdr:from>
      <xdr:col>6</xdr:col>
      <xdr:colOff>504825</xdr:colOff>
      <xdr:row>333</xdr:row>
      <xdr:rowOff>47625</xdr:rowOff>
    </xdr:from>
    <xdr:to>
      <xdr:col>12</xdr:col>
      <xdr:colOff>247650</xdr:colOff>
      <xdr:row>353</xdr:row>
      <xdr:rowOff>104775</xdr:rowOff>
    </xdr:to>
    <xdr:graphicFrame>
      <xdr:nvGraphicFramePr>
        <xdr:cNvPr id="32" name="npvs15"/>
        <xdr:cNvGraphicFramePr/>
      </xdr:nvGraphicFramePr>
      <xdr:xfrm>
        <a:off x="5076825" y="53968650"/>
        <a:ext cx="4314825" cy="3295650"/>
      </xdr:xfrm>
      <a:graphic>
        <a:graphicData uri="http://schemas.openxmlformats.org/drawingml/2006/chart">
          <c:chart xmlns:c="http://schemas.openxmlformats.org/drawingml/2006/chart" r:id="rId32"/>
        </a:graphicData>
      </a:graphic>
    </xdr:graphicFrame>
    <xdr:clientData/>
  </xdr:twoCellAnchor>
  <xdr:twoCellAnchor>
    <xdr:from>
      <xdr:col>0</xdr:col>
      <xdr:colOff>504825</xdr:colOff>
      <xdr:row>355</xdr:row>
      <xdr:rowOff>47625</xdr:rowOff>
    </xdr:from>
    <xdr:to>
      <xdr:col>6</xdr:col>
      <xdr:colOff>247650</xdr:colOff>
      <xdr:row>375</xdr:row>
      <xdr:rowOff>104775</xdr:rowOff>
    </xdr:to>
    <xdr:graphicFrame>
      <xdr:nvGraphicFramePr>
        <xdr:cNvPr id="33" name="paybacks16"/>
        <xdr:cNvGraphicFramePr/>
      </xdr:nvGraphicFramePr>
      <xdr:xfrm>
        <a:off x="504825" y="57531000"/>
        <a:ext cx="4314825" cy="3295650"/>
      </xdr:xfrm>
      <a:graphic>
        <a:graphicData uri="http://schemas.openxmlformats.org/drawingml/2006/chart">
          <c:chart xmlns:c="http://schemas.openxmlformats.org/drawingml/2006/chart" r:id="rId33"/>
        </a:graphicData>
      </a:graphic>
    </xdr:graphicFrame>
    <xdr:clientData/>
  </xdr:twoCellAnchor>
  <xdr:twoCellAnchor>
    <xdr:from>
      <xdr:col>6</xdr:col>
      <xdr:colOff>504825</xdr:colOff>
      <xdr:row>355</xdr:row>
      <xdr:rowOff>47625</xdr:rowOff>
    </xdr:from>
    <xdr:to>
      <xdr:col>12</xdr:col>
      <xdr:colOff>247650</xdr:colOff>
      <xdr:row>375</xdr:row>
      <xdr:rowOff>104775</xdr:rowOff>
    </xdr:to>
    <xdr:graphicFrame>
      <xdr:nvGraphicFramePr>
        <xdr:cNvPr id="34" name="npvs16"/>
        <xdr:cNvGraphicFramePr/>
      </xdr:nvGraphicFramePr>
      <xdr:xfrm>
        <a:off x="5076825" y="57531000"/>
        <a:ext cx="4314825" cy="3295650"/>
      </xdr:xfrm>
      <a:graphic>
        <a:graphicData uri="http://schemas.openxmlformats.org/drawingml/2006/chart">
          <c:chart xmlns:c="http://schemas.openxmlformats.org/drawingml/2006/chart" r:id="rId34"/>
        </a:graphicData>
      </a:graphic>
    </xdr:graphicFrame>
    <xdr:clientData/>
  </xdr:twoCellAnchor>
  <xdr:twoCellAnchor>
    <xdr:from>
      <xdr:col>0</xdr:col>
      <xdr:colOff>504825</xdr:colOff>
      <xdr:row>377</xdr:row>
      <xdr:rowOff>38100</xdr:rowOff>
    </xdr:from>
    <xdr:to>
      <xdr:col>6</xdr:col>
      <xdr:colOff>247650</xdr:colOff>
      <xdr:row>397</xdr:row>
      <xdr:rowOff>95250</xdr:rowOff>
    </xdr:to>
    <xdr:graphicFrame>
      <xdr:nvGraphicFramePr>
        <xdr:cNvPr id="35" name="paybacks17"/>
        <xdr:cNvGraphicFramePr/>
      </xdr:nvGraphicFramePr>
      <xdr:xfrm>
        <a:off x="504825" y="61083825"/>
        <a:ext cx="4314825" cy="3295650"/>
      </xdr:xfrm>
      <a:graphic>
        <a:graphicData uri="http://schemas.openxmlformats.org/drawingml/2006/chart">
          <c:chart xmlns:c="http://schemas.openxmlformats.org/drawingml/2006/chart" r:id="rId35"/>
        </a:graphicData>
      </a:graphic>
    </xdr:graphicFrame>
    <xdr:clientData/>
  </xdr:twoCellAnchor>
  <xdr:twoCellAnchor>
    <xdr:from>
      <xdr:col>6</xdr:col>
      <xdr:colOff>504825</xdr:colOff>
      <xdr:row>377</xdr:row>
      <xdr:rowOff>38100</xdr:rowOff>
    </xdr:from>
    <xdr:to>
      <xdr:col>12</xdr:col>
      <xdr:colOff>247650</xdr:colOff>
      <xdr:row>397</xdr:row>
      <xdr:rowOff>95250</xdr:rowOff>
    </xdr:to>
    <xdr:graphicFrame>
      <xdr:nvGraphicFramePr>
        <xdr:cNvPr id="36" name="npvs17"/>
        <xdr:cNvGraphicFramePr/>
      </xdr:nvGraphicFramePr>
      <xdr:xfrm>
        <a:off x="5076825" y="61083825"/>
        <a:ext cx="4314825" cy="3295650"/>
      </xdr:xfrm>
      <a:graphic>
        <a:graphicData uri="http://schemas.openxmlformats.org/drawingml/2006/chart">
          <c:chart xmlns:c="http://schemas.openxmlformats.org/drawingml/2006/chart" r:id="rId36"/>
        </a:graphicData>
      </a:graphic>
    </xdr:graphicFrame>
    <xdr:clientData/>
  </xdr:twoCellAnchor>
  <xdr:twoCellAnchor>
    <xdr:from>
      <xdr:col>0</xdr:col>
      <xdr:colOff>504825</xdr:colOff>
      <xdr:row>421</xdr:row>
      <xdr:rowOff>28575</xdr:rowOff>
    </xdr:from>
    <xdr:to>
      <xdr:col>6</xdr:col>
      <xdr:colOff>247650</xdr:colOff>
      <xdr:row>441</xdr:row>
      <xdr:rowOff>85725</xdr:rowOff>
    </xdr:to>
    <xdr:graphicFrame>
      <xdr:nvGraphicFramePr>
        <xdr:cNvPr id="37" name="paybacks19"/>
        <xdr:cNvGraphicFramePr/>
      </xdr:nvGraphicFramePr>
      <xdr:xfrm>
        <a:off x="504825" y="68199000"/>
        <a:ext cx="4314825" cy="3295650"/>
      </xdr:xfrm>
      <a:graphic>
        <a:graphicData uri="http://schemas.openxmlformats.org/drawingml/2006/chart">
          <c:chart xmlns:c="http://schemas.openxmlformats.org/drawingml/2006/chart" r:id="rId37"/>
        </a:graphicData>
      </a:graphic>
    </xdr:graphicFrame>
    <xdr:clientData/>
  </xdr:twoCellAnchor>
  <xdr:twoCellAnchor>
    <xdr:from>
      <xdr:col>6</xdr:col>
      <xdr:colOff>504825</xdr:colOff>
      <xdr:row>421</xdr:row>
      <xdr:rowOff>28575</xdr:rowOff>
    </xdr:from>
    <xdr:to>
      <xdr:col>12</xdr:col>
      <xdr:colOff>247650</xdr:colOff>
      <xdr:row>441</xdr:row>
      <xdr:rowOff>85725</xdr:rowOff>
    </xdr:to>
    <xdr:graphicFrame>
      <xdr:nvGraphicFramePr>
        <xdr:cNvPr id="38" name="npvs19"/>
        <xdr:cNvGraphicFramePr/>
      </xdr:nvGraphicFramePr>
      <xdr:xfrm>
        <a:off x="5076825" y="68199000"/>
        <a:ext cx="4314825" cy="3295650"/>
      </xdr:xfrm>
      <a:graphic>
        <a:graphicData uri="http://schemas.openxmlformats.org/drawingml/2006/chart">
          <c:chart xmlns:c="http://schemas.openxmlformats.org/drawingml/2006/chart" r:id="rId38"/>
        </a:graphicData>
      </a:graphic>
    </xdr:graphicFrame>
    <xdr:clientData/>
  </xdr:twoCellAnchor>
  <xdr:twoCellAnchor>
    <xdr:from>
      <xdr:col>0</xdr:col>
      <xdr:colOff>504825</xdr:colOff>
      <xdr:row>443</xdr:row>
      <xdr:rowOff>19050</xdr:rowOff>
    </xdr:from>
    <xdr:to>
      <xdr:col>6</xdr:col>
      <xdr:colOff>247650</xdr:colOff>
      <xdr:row>463</xdr:row>
      <xdr:rowOff>76200</xdr:rowOff>
    </xdr:to>
    <xdr:graphicFrame>
      <xdr:nvGraphicFramePr>
        <xdr:cNvPr id="39" name="paybacks20"/>
        <xdr:cNvGraphicFramePr/>
      </xdr:nvGraphicFramePr>
      <xdr:xfrm>
        <a:off x="504825" y="71751825"/>
        <a:ext cx="4314825" cy="3295650"/>
      </xdr:xfrm>
      <a:graphic>
        <a:graphicData uri="http://schemas.openxmlformats.org/drawingml/2006/chart">
          <c:chart xmlns:c="http://schemas.openxmlformats.org/drawingml/2006/chart" r:id="rId39"/>
        </a:graphicData>
      </a:graphic>
    </xdr:graphicFrame>
    <xdr:clientData/>
  </xdr:twoCellAnchor>
  <xdr:twoCellAnchor>
    <xdr:from>
      <xdr:col>6</xdr:col>
      <xdr:colOff>504825</xdr:colOff>
      <xdr:row>443</xdr:row>
      <xdr:rowOff>19050</xdr:rowOff>
    </xdr:from>
    <xdr:to>
      <xdr:col>12</xdr:col>
      <xdr:colOff>247650</xdr:colOff>
      <xdr:row>463</xdr:row>
      <xdr:rowOff>76200</xdr:rowOff>
    </xdr:to>
    <xdr:graphicFrame>
      <xdr:nvGraphicFramePr>
        <xdr:cNvPr id="40" name="npvs20"/>
        <xdr:cNvGraphicFramePr/>
      </xdr:nvGraphicFramePr>
      <xdr:xfrm>
        <a:off x="5076825" y="71751825"/>
        <a:ext cx="4314825" cy="3295650"/>
      </xdr:xfrm>
      <a:graphic>
        <a:graphicData uri="http://schemas.openxmlformats.org/drawingml/2006/chart">
          <c:chart xmlns:c="http://schemas.openxmlformats.org/drawingml/2006/chart" r:id="rId40"/>
        </a:graphicData>
      </a:graphic>
    </xdr:graphicFrame>
    <xdr:clientData/>
  </xdr:twoCellAnchor>
  <xdr:twoCellAnchor>
    <xdr:from>
      <xdr:col>0</xdr:col>
      <xdr:colOff>504825</xdr:colOff>
      <xdr:row>465</xdr:row>
      <xdr:rowOff>9525</xdr:rowOff>
    </xdr:from>
    <xdr:to>
      <xdr:col>6</xdr:col>
      <xdr:colOff>247650</xdr:colOff>
      <xdr:row>485</xdr:row>
      <xdr:rowOff>66675</xdr:rowOff>
    </xdr:to>
    <xdr:graphicFrame>
      <xdr:nvGraphicFramePr>
        <xdr:cNvPr id="41" name="paybacks21"/>
        <xdr:cNvGraphicFramePr/>
      </xdr:nvGraphicFramePr>
      <xdr:xfrm>
        <a:off x="504825" y="75304650"/>
        <a:ext cx="4314825" cy="3295650"/>
      </xdr:xfrm>
      <a:graphic>
        <a:graphicData uri="http://schemas.openxmlformats.org/drawingml/2006/chart">
          <c:chart xmlns:c="http://schemas.openxmlformats.org/drawingml/2006/chart" r:id="rId41"/>
        </a:graphicData>
      </a:graphic>
    </xdr:graphicFrame>
    <xdr:clientData/>
  </xdr:twoCellAnchor>
  <xdr:twoCellAnchor>
    <xdr:from>
      <xdr:col>6</xdr:col>
      <xdr:colOff>504825</xdr:colOff>
      <xdr:row>465</xdr:row>
      <xdr:rowOff>9525</xdr:rowOff>
    </xdr:from>
    <xdr:to>
      <xdr:col>12</xdr:col>
      <xdr:colOff>247650</xdr:colOff>
      <xdr:row>485</xdr:row>
      <xdr:rowOff>66675</xdr:rowOff>
    </xdr:to>
    <xdr:graphicFrame>
      <xdr:nvGraphicFramePr>
        <xdr:cNvPr id="42" name="npvs21"/>
        <xdr:cNvGraphicFramePr/>
      </xdr:nvGraphicFramePr>
      <xdr:xfrm>
        <a:off x="5076825" y="75304650"/>
        <a:ext cx="4314825" cy="3295650"/>
      </xdr:xfrm>
      <a:graphic>
        <a:graphicData uri="http://schemas.openxmlformats.org/drawingml/2006/chart">
          <c:chart xmlns:c="http://schemas.openxmlformats.org/drawingml/2006/chart" r:id="rId42"/>
        </a:graphicData>
      </a:graphic>
    </xdr:graphicFrame>
    <xdr:clientData/>
  </xdr:twoCellAnchor>
  <xdr:twoCellAnchor>
    <xdr:from>
      <xdr:col>0</xdr:col>
      <xdr:colOff>504825</xdr:colOff>
      <xdr:row>487</xdr:row>
      <xdr:rowOff>9525</xdr:rowOff>
    </xdr:from>
    <xdr:to>
      <xdr:col>6</xdr:col>
      <xdr:colOff>247650</xdr:colOff>
      <xdr:row>507</xdr:row>
      <xdr:rowOff>66675</xdr:rowOff>
    </xdr:to>
    <xdr:graphicFrame>
      <xdr:nvGraphicFramePr>
        <xdr:cNvPr id="43" name="paybacks22"/>
        <xdr:cNvGraphicFramePr/>
      </xdr:nvGraphicFramePr>
      <xdr:xfrm>
        <a:off x="504825" y="78867000"/>
        <a:ext cx="4314825" cy="3295650"/>
      </xdr:xfrm>
      <a:graphic>
        <a:graphicData uri="http://schemas.openxmlformats.org/drawingml/2006/chart">
          <c:chart xmlns:c="http://schemas.openxmlformats.org/drawingml/2006/chart" r:id="rId43"/>
        </a:graphicData>
      </a:graphic>
    </xdr:graphicFrame>
    <xdr:clientData/>
  </xdr:twoCellAnchor>
  <xdr:twoCellAnchor>
    <xdr:from>
      <xdr:col>6</xdr:col>
      <xdr:colOff>504825</xdr:colOff>
      <xdr:row>487</xdr:row>
      <xdr:rowOff>9525</xdr:rowOff>
    </xdr:from>
    <xdr:to>
      <xdr:col>12</xdr:col>
      <xdr:colOff>247650</xdr:colOff>
      <xdr:row>507</xdr:row>
      <xdr:rowOff>66675</xdr:rowOff>
    </xdr:to>
    <xdr:graphicFrame>
      <xdr:nvGraphicFramePr>
        <xdr:cNvPr id="44" name="npvs22"/>
        <xdr:cNvGraphicFramePr/>
      </xdr:nvGraphicFramePr>
      <xdr:xfrm>
        <a:off x="5076825" y="78867000"/>
        <a:ext cx="4314825" cy="3295650"/>
      </xdr:xfrm>
      <a:graphic>
        <a:graphicData uri="http://schemas.openxmlformats.org/drawingml/2006/chart">
          <c:chart xmlns:c="http://schemas.openxmlformats.org/drawingml/2006/chart" r:id="rId44"/>
        </a:graphicData>
      </a:graphic>
    </xdr:graphicFrame>
    <xdr:clientData/>
  </xdr:twoCellAnchor>
  <xdr:twoCellAnchor>
    <xdr:from>
      <xdr:col>0</xdr:col>
      <xdr:colOff>504825</xdr:colOff>
      <xdr:row>509</xdr:row>
      <xdr:rowOff>0</xdr:rowOff>
    </xdr:from>
    <xdr:to>
      <xdr:col>6</xdr:col>
      <xdr:colOff>247650</xdr:colOff>
      <xdr:row>529</xdr:row>
      <xdr:rowOff>57150</xdr:rowOff>
    </xdr:to>
    <xdr:graphicFrame>
      <xdr:nvGraphicFramePr>
        <xdr:cNvPr id="45" name="paybacks23"/>
        <xdr:cNvGraphicFramePr/>
      </xdr:nvGraphicFramePr>
      <xdr:xfrm>
        <a:off x="504825" y="82419825"/>
        <a:ext cx="4314825" cy="3295650"/>
      </xdr:xfrm>
      <a:graphic>
        <a:graphicData uri="http://schemas.openxmlformats.org/drawingml/2006/chart">
          <c:chart xmlns:c="http://schemas.openxmlformats.org/drawingml/2006/chart" r:id="rId45"/>
        </a:graphicData>
      </a:graphic>
    </xdr:graphicFrame>
    <xdr:clientData/>
  </xdr:twoCellAnchor>
  <xdr:twoCellAnchor>
    <xdr:from>
      <xdr:col>6</xdr:col>
      <xdr:colOff>504825</xdr:colOff>
      <xdr:row>509</xdr:row>
      <xdr:rowOff>0</xdr:rowOff>
    </xdr:from>
    <xdr:to>
      <xdr:col>12</xdr:col>
      <xdr:colOff>247650</xdr:colOff>
      <xdr:row>529</xdr:row>
      <xdr:rowOff>57150</xdr:rowOff>
    </xdr:to>
    <xdr:graphicFrame>
      <xdr:nvGraphicFramePr>
        <xdr:cNvPr id="46" name="npvs23"/>
        <xdr:cNvGraphicFramePr/>
      </xdr:nvGraphicFramePr>
      <xdr:xfrm>
        <a:off x="5076825" y="82419825"/>
        <a:ext cx="4314825" cy="3295650"/>
      </xdr:xfrm>
      <a:graphic>
        <a:graphicData uri="http://schemas.openxmlformats.org/drawingml/2006/chart">
          <c:chart xmlns:c="http://schemas.openxmlformats.org/drawingml/2006/chart" r:id="rId46"/>
        </a:graphicData>
      </a:graphic>
    </xdr:graphicFrame>
    <xdr:clientData/>
  </xdr:twoCellAnchor>
  <xdr:twoCellAnchor>
    <xdr:from>
      <xdr:col>0</xdr:col>
      <xdr:colOff>504825</xdr:colOff>
      <xdr:row>530</xdr:row>
      <xdr:rowOff>152400</xdr:rowOff>
    </xdr:from>
    <xdr:to>
      <xdr:col>6</xdr:col>
      <xdr:colOff>247650</xdr:colOff>
      <xdr:row>551</xdr:row>
      <xdr:rowOff>47625</xdr:rowOff>
    </xdr:to>
    <xdr:graphicFrame>
      <xdr:nvGraphicFramePr>
        <xdr:cNvPr id="47" name="paybacks24"/>
        <xdr:cNvGraphicFramePr/>
      </xdr:nvGraphicFramePr>
      <xdr:xfrm>
        <a:off x="504825" y="85972650"/>
        <a:ext cx="4314825" cy="3295650"/>
      </xdr:xfrm>
      <a:graphic>
        <a:graphicData uri="http://schemas.openxmlformats.org/drawingml/2006/chart">
          <c:chart xmlns:c="http://schemas.openxmlformats.org/drawingml/2006/chart" r:id="rId47"/>
        </a:graphicData>
      </a:graphic>
    </xdr:graphicFrame>
    <xdr:clientData/>
  </xdr:twoCellAnchor>
  <xdr:twoCellAnchor>
    <xdr:from>
      <xdr:col>6</xdr:col>
      <xdr:colOff>504825</xdr:colOff>
      <xdr:row>530</xdr:row>
      <xdr:rowOff>152400</xdr:rowOff>
    </xdr:from>
    <xdr:to>
      <xdr:col>12</xdr:col>
      <xdr:colOff>247650</xdr:colOff>
      <xdr:row>551</xdr:row>
      <xdr:rowOff>47625</xdr:rowOff>
    </xdr:to>
    <xdr:graphicFrame>
      <xdr:nvGraphicFramePr>
        <xdr:cNvPr id="48" name="npvs24"/>
        <xdr:cNvGraphicFramePr/>
      </xdr:nvGraphicFramePr>
      <xdr:xfrm>
        <a:off x="5076825" y="85972650"/>
        <a:ext cx="4314825" cy="3295650"/>
      </xdr:xfrm>
      <a:graphic>
        <a:graphicData uri="http://schemas.openxmlformats.org/drawingml/2006/chart">
          <c:chart xmlns:c="http://schemas.openxmlformats.org/drawingml/2006/chart" r:id="rId48"/>
        </a:graphicData>
      </a:graphic>
    </xdr:graphicFrame>
    <xdr:clientData/>
  </xdr:twoCellAnchor>
  <xdr:twoCellAnchor>
    <xdr:from>
      <xdr:col>0</xdr:col>
      <xdr:colOff>504825</xdr:colOff>
      <xdr:row>574</xdr:row>
      <xdr:rowOff>142875</xdr:rowOff>
    </xdr:from>
    <xdr:to>
      <xdr:col>6</xdr:col>
      <xdr:colOff>247650</xdr:colOff>
      <xdr:row>595</xdr:row>
      <xdr:rowOff>38100</xdr:rowOff>
    </xdr:to>
    <xdr:graphicFrame>
      <xdr:nvGraphicFramePr>
        <xdr:cNvPr id="49" name="paybacks26"/>
        <xdr:cNvGraphicFramePr/>
      </xdr:nvGraphicFramePr>
      <xdr:xfrm>
        <a:off x="504825" y="93087825"/>
        <a:ext cx="4314825" cy="3295650"/>
      </xdr:xfrm>
      <a:graphic>
        <a:graphicData uri="http://schemas.openxmlformats.org/drawingml/2006/chart">
          <c:chart xmlns:c="http://schemas.openxmlformats.org/drawingml/2006/chart" r:id="rId49"/>
        </a:graphicData>
      </a:graphic>
    </xdr:graphicFrame>
    <xdr:clientData/>
  </xdr:twoCellAnchor>
  <xdr:twoCellAnchor>
    <xdr:from>
      <xdr:col>6</xdr:col>
      <xdr:colOff>504825</xdr:colOff>
      <xdr:row>574</xdr:row>
      <xdr:rowOff>142875</xdr:rowOff>
    </xdr:from>
    <xdr:to>
      <xdr:col>12</xdr:col>
      <xdr:colOff>247650</xdr:colOff>
      <xdr:row>595</xdr:row>
      <xdr:rowOff>38100</xdr:rowOff>
    </xdr:to>
    <xdr:graphicFrame>
      <xdr:nvGraphicFramePr>
        <xdr:cNvPr id="50" name="npvs26"/>
        <xdr:cNvGraphicFramePr/>
      </xdr:nvGraphicFramePr>
      <xdr:xfrm>
        <a:off x="5076825" y="93087825"/>
        <a:ext cx="4314825" cy="3295650"/>
      </xdr:xfrm>
      <a:graphic>
        <a:graphicData uri="http://schemas.openxmlformats.org/drawingml/2006/chart">
          <c:chart xmlns:c="http://schemas.openxmlformats.org/drawingml/2006/chart" r:id="rId50"/>
        </a:graphicData>
      </a:graphic>
    </xdr:graphicFrame>
    <xdr:clientData/>
  </xdr:twoCellAnchor>
  <xdr:twoCellAnchor>
    <xdr:from>
      <xdr:col>0</xdr:col>
      <xdr:colOff>504825</xdr:colOff>
      <xdr:row>596</xdr:row>
      <xdr:rowOff>133350</xdr:rowOff>
    </xdr:from>
    <xdr:to>
      <xdr:col>6</xdr:col>
      <xdr:colOff>247650</xdr:colOff>
      <xdr:row>617</xdr:row>
      <xdr:rowOff>28575</xdr:rowOff>
    </xdr:to>
    <xdr:graphicFrame>
      <xdr:nvGraphicFramePr>
        <xdr:cNvPr id="51" name="paybacks27"/>
        <xdr:cNvGraphicFramePr/>
      </xdr:nvGraphicFramePr>
      <xdr:xfrm>
        <a:off x="504825" y="96640650"/>
        <a:ext cx="4314825" cy="3295650"/>
      </xdr:xfrm>
      <a:graphic>
        <a:graphicData uri="http://schemas.openxmlformats.org/drawingml/2006/chart">
          <c:chart xmlns:c="http://schemas.openxmlformats.org/drawingml/2006/chart" r:id="rId51"/>
        </a:graphicData>
      </a:graphic>
    </xdr:graphicFrame>
    <xdr:clientData/>
  </xdr:twoCellAnchor>
  <xdr:twoCellAnchor>
    <xdr:from>
      <xdr:col>6</xdr:col>
      <xdr:colOff>504825</xdr:colOff>
      <xdr:row>596</xdr:row>
      <xdr:rowOff>133350</xdr:rowOff>
    </xdr:from>
    <xdr:to>
      <xdr:col>12</xdr:col>
      <xdr:colOff>247650</xdr:colOff>
      <xdr:row>617</xdr:row>
      <xdr:rowOff>28575</xdr:rowOff>
    </xdr:to>
    <xdr:graphicFrame>
      <xdr:nvGraphicFramePr>
        <xdr:cNvPr id="52" name="npvs27"/>
        <xdr:cNvGraphicFramePr/>
      </xdr:nvGraphicFramePr>
      <xdr:xfrm>
        <a:off x="5076825" y="96640650"/>
        <a:ext cx="4314825" cy="3295650"/>
      </xdr:xfrm>
      <a:graphic>
        <a:graphicData uri="http://schemas.openxmlformats.org/drawingml/2006/chart">
          <c:chart xmlns:c="http://schemas.openxmlformats.org/drawingml/2006/chart" r:id="rId52"/>
        </a:graphicData>
      </a:graphic>
    </xdr:graphicFrame>
    <xdr:clientData/>
  </xdr:twoCellAnchor>
  <xdr:twoCellAnchor>
    <xdr:from>
      <xdr:col>0</xdr:col>
      <xdr:colOff>504825</xdr:colOff>
      <xdr:row>618</xdr:row>
      <xdr:rowOff>133350</xdr:rowOff>
    </xdr:from>
    <xdr:to>
      <xdr:col>6</xdr:col>
      <xdr:colOff>247650</xdr:colOff>
      <xdr:row>639</xdr:row>
      <xdr:rowOff>28575</xdr:rowOff>
    </xdr:to>
    <xdr:graphicFrame>
      <xdr:nvGraphicFramePr>
        <xdr:cNvPr id="53" name="paybacks28"/>
        <xdr:cNvGraphicFramePr/>
      </xdr:nvGraphicFramePr>
      <xdr:xfrm>
        <a:off x="504825" y="100203000"/>
        <a:ext cx="4314825" cy="3295650"/>
      </xdr:xfrm>
      <a:graphic>
        <a:graphicData uri="http://schemas.openxmlformats.org/drawingml/2006/chart">
          <c:chart xmlns:c="http://schemas.openxmlformats.org/drawingml/2006/chart" r:id="rId53"/>
        </a:graphicData>
      </a:graphic>
    </xdr:graphicFrame>
    <xdr:clientData/>
  </xdr:twoCellAnchor>
  <xdr:twoCellAnchor>
    <xdr:from>
      <xdr:col>6</xdr:col>
      <xdr:colOff>504825</xdr:colOff>
      <xdr:row>618</xdr:row>
      <xdr:rowOff>133350</xdr:rowOff>
    </xdr:from>
    <xdr:to>
      <xdr:col>12</xdr:col>
      <xdr:colOff>247650</xdr:colOff>
      <xdr:row>639</xdr:row>
      <xdr:rowOff>28575</xdr:rowOff>
    </xdr:to>
    <xdr:graphicFrame>
      <xdr:nvGraphicFramePr>
        <xdr:cNvPr id="54" name="npvs28"/>
        <xdr:cNvGraphicFramePr/>
      </xdr:nvGraphicFramePr>
      <xdr:xfrm>
        <a:off x="5076825" y="100203000"/>
        <a:ext cx="4314825" cy="3295650"/>
      </xdr:xfrm>
      <a:graphic>
        <a:graphicData uri="http://schemas.openxmlformats.org/drawingml/2006/chart">
          <c:chart xmlns:c="http://schemas.openxmlformats.org/drawingml/2006/chart" r:id="rId54"/>
        </a:graphicData>
      </a:graphic>
    </xdr:graphicFrame>
    <xdr:clientData/>
  </xdr:twoCellAnchor>
  <xdr:twoCellAnchor>
    <xdr:from>
      <xdr:col>0</xdr:col>
      <xdr:colOff>504825</xdr:colOff>
      <xdr:row>640</xdr:row>
      <xdr:rowOff>123825</xdr:rowOff>
    </xdr:from>
    <xdr:to>
      <xdr:col>6</xdr:col>
      <xdr:colOff>247650</xdr:colOff>
      <xdr:row>661</xdr:row>
      <xdr:rowOff>19050</xdr:rowOff>
    </xdr:to>
    <xdr:graphicFrame>
      <xdr:nvGraphicFramePr>
        <xdr:cNvPr id="55" name="paybacks29"/>
        <xdr:cNvGraphicFramePr/>
      </xdr:nvGraphicFramePr>
      <xdr:xfrm>
        <a:off x="504825" y="103755825"/>
        <a:ext cx="4314825" cy="3295650"/>
      </xdr:xfrm>
      <a:graphic>
        <a:graphicData uri="http://schemas.openxmlformats.org/drawingml/2006/chart">
          <c:chart xmlns:c="http://schemas.openxmlformats.org/drawingml/2006/chart" r:id="rId55"/>
        </a:graphicData>
      </a:graphic>
    </xdr:graphicFrame>
    <xdr:clientData/>
  </xdr:twoCellAnchor>
  <xdr:twoCellAnchor>
    <xdr:from>
      <xdr:col>6</xdr:col>
      <xdr:colOff>504825</xdr:colOff>
      <xdr:row>640</xdr:row>
      <xdr:rowOff>123825</xdr:rowOff>
    </xdr:from>
    <xdr:to>
      <xdr:col>12</xdr:col>
      <xdr:colOff>247650</xdr:colOff>
      <xdr:row>661</xdr:row>
      <xdr:rowOff>19050</xdr:rowOff>
    </xdr:to>
    <xdr:graphicFrame>
      <xdr:nvGraphicFramePr>
        <xdr:cNvPr id="56" name="npvs29"/>
        <xdr:cNvGraphicFramePr/>
      </xdr:nvGraphicFramePr>
      <xdr:xfrm>
        <a:off x="5076825" y="103755825"/>
        <a:ext cx="4314825" cy="3295650"/>
      </xdr:xfrm>
      <a:graphic>
        <a:graphicData uri="http://schemas.openxmlformats.org/drawingml/2006/chart">
          <c:chart xmlns:c="http://schemas.openxmlformats.org/drawingml/2006/chart" r:id="rId5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15</xdr:row>
      <xdr:rowOff>28575</xdr:rowOff>
    </xdr:from>
    <xdr:to>
      <xdr:col>3</xdr:col>
      <xdr:colOff>209550</xdr:colOff>
      <xdr:row>20</xdr:row>
      <xdr:rowOff>228600</xdr:rowOff>
    </xdr:to>
    <xdr:sp>
      <xdr:nvSpPr>
        <xdr:cNvPr id="1" name="AutoShape 1"/>
        <xdr:cNvSpPr>
          <a:spLocks/>
        </xdr:cNvSpPr>
      </xdr:nvSpPr>
      <xdr:spPr>
        <a:xfrm>
          <a:off x="4476750" y="2524125"/>
          <a:ext cx="152400" cy="1390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47625</xdr:rowOff>
    </xdr:from>
    <xdr:to>
      <xdr:col>3</xdr:col>
      <xdr:colOff>209550</xdr:colOff>
      <xdr:row>25</xdr:row>
      <xdr:rowOff>219075</xdr:rowOff>
    </xdr:to>
    <xdr:sp>
      <xdr:nvSpPr>
        <xdr:cNvPr id="2" name="AutoShape 2"/>
        <xdr:cNvSpPr>
          <a:spLocks/>
        </xdr:cNvSpPr>
      </xdr:nvSpPr>
      <xdr:spPr>
        <a:xfrm>
          <a:off x="4476750" y="3971925"/>
          <a:ext cx="152400" cy="1123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352425</xdr:colOff>
      <xdr:row>17</xdr:row>
      <xdr:rowOff>95250</xdr:rowOff>
    </xdr:from>
    <xdr:ext cx="1295400" cy="238125"/>
    <xdr:sp>
      <xdr:nvSpPr>
        <xdr:cNvPr id="3" name="TextBox 3"/>
        <xdr:cNvSpPr txBox="1">
          <a:spLocks noChangeArrowheads="1"/>
        </xdr:cNvSpPr>
      </xdr:nvSpPr>
      <xdr:spPr>
        <a:xfrm>
          <a:off x="4772025" y="3067050"/>
          <a:ext cx="12954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Business Issues</a:t>
          </a:r>
        </a:p>
      </xdr:txBody>
    </xdr:sp>
    <xdr:clientData/>
  </xdr:oneCellAnchor>
  <xdr:oneCellAnchor>
    <xdr:from>
      <xdr:col>3</xdr:col>
      <xdr:colOff>352425</xdr:colOff>
      <xdr:row>23</xdr:row>
      <xdr:rowOff>0</xdr:rowOff>
    </xdr:from>
    <xdr:ext cx="1343025" cy="238125"/>
    <xdr:sp>
      <xdr:nvSpPr>
        <xdr:cNvPr id="4" name="TextBox 4"/>
        <xdr:cNvSpPr txBox="1">
          <a:spLocks noChangeArrowheads="1"/>
        </xdr:cNvSpPr>
      </xdr:nvSpPr>
      <xdr:spPr>
        <a:xfrm>
          <a:off x="4772025" y="4400550"/>
          <a:ext cx="1343025"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Business Drivers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15</xdr:row>
      <xdr:rowOff>57150</xdr:rowOff>
    </xdr:from>
    <xdr:to>
      <xdr:col>4</xdr:col>
      <xdr:colOff>428625</xdr:colOff>
      <xdr:row>16</xdr:row>
      <xdr:rowOff>142875</xdr:rowOff>
    </xdr:to>
    <xdr:sp>
      <xdr:nvSpPr>
        <xdr:cNvPr id="1" name="Line 111"/>
        <xdr:cNvSpPr>
          <a:spLocks/>
        </xdr:cNvSpPr>
      </xdr:nvSpPr>
      <xdr:spPr>
        <a:xfrm>
          <a:off x="5562600" y="28575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15</xdr:row>
      <xdr:rowOff>76200</xdr:rowOff>
    </xdr:from>
    <xdr:to>
      <xdr:col>3</xdr:col>
      <xdr:colOff>0</xdr:colOff>
      <xdr:row>16</xdr:row>
      <xdr:rowOff>161925</xdr:rowOff>
    </xdr:to>
    <xdr:sp>
      <xdr:nvSpPr>
        <xdr:cNvPr id="2" name="Line 685"/>
        <xdr:cNvSpPr>
          <a:spLocks/>
        </xdr:cNvSpPr>
      </xdr:nvSpPr>
      <xdr:spPr>
        <a:xfrm>
          <a:off x="4276725" y="28765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56</xdr:row>
      <xdr:rowOff>57150</xdr:rowOff>
    </xdr:from>
    <xdr:to>
      <xdr:col>4</xdr:col>
      <xdr:colOff>428625</xdr:colOff>
      <xdr:row>57</xdr:row>
      <xdr:rowOff>142875</xdr:rowOff>
    </xdr:to>
    <xdr:sp>
      <xdr:nvSpPr>
        <xdr:cNvPr id="3" name="Line 945"/>
        <xdr:cNvSpPr>
          <a:spLocks/>
        </xdr:cNvSpPr>
      </xdr:nvSpPr>
      <xdr:spPr>
        <a:xfrm>
          <a:off x="5562600" y="104679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56</xdr:row>
      <xdr:rowOff>76200</xdr:rowOff>
    </xdr:from>
    <xdr:to>
      <xdr:col>3</xdr:col>
      <xdr:colOff>0</xdr:colOff>
      <xdr:row>57</xdr:row>
      <xdr:rowOff>161925</xdr:rowOff>
    </xdr:to>
    <xdr:sp>
      <xdr:nvSpPr>
        <xdr:cNvPr id="4" name="Line 947"/>
        <xdr:cNvSpPr>
          <a:spLocks/>
        </xdr:cNvSpPr>
      </xdr:nvSpPr>
      <xdr:spPr>
        <a:xfrm>
          <a:off x="4276725" y="104870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12</xdr:row>
      <xdr:rowOff>57150</xdr:rowOff>
    </xdr:from>
    <xdr:to>
      <xdr:col>4</xdr:col>
      <xdr:colOff>428625</xdr:colOff>
      <xdr:row>13</xdr:row>
      <xdr:rowOff>142875</xdr:rowOff>
    </xdr:to>
    <xdr:sp>
      <xdr:nvSpPr>
        <xdr:cNvPr id="1" name="Line 2"/>
        <xdr:cNvSpPr>
          <a:spLocks/>
        </xdr:cNvSpPr>
      </xdr:nvSpPr>
      <xdr:spPr>
        <a:xfrm>
          <a:off x="5848350" y="25908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76200</xdr:rowOff>
    </xdr:from>
    <xdr:to>
      <xdr:col>3</xdr:col>
      <xdr:colOff>0</xdr:colOff>
      <xdr:row>13</xdr:row>
      <xdr:rowOff>161925</xdr:rowOff>
    </xdr:to>
    <xdr:sp>
      <xdr:nvSpPr>
        <xdr:cNvPr id="2" name="Line 4"/>
        <xdr:cNvSpPr>
          <a:spLocks/>
        </xdr:cNvSpPr>
      </xdr:nvSpPr>
      <xdr:spPr>
        <a:xfrm>
          <a:off x="4391025" y="26098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13</xdr:row>
      <xdr:rowOff>57150</xdr:rowOff>
    </xdr:from>
    <xdr:to>
      <xdr:col>4</xdr:col>
      <xdr:colOff>428625</xdr:colOff>
      <xdr:row>14</xdr:row>
      <xdr:rowOff>142875</xdr:rowOff>
    </xdr:to>
    <xdr:sp>
      <xdr:nvSpPr>
        <xdr:cNvPr id="1" name="Line 2"/>
        <xdr:cNvSpPr>
          <a:spLocks/>
        </xdr:cNvSpPr>
      </xdr:nvSpPr>
      <xdr:spPr>
        <a:xfrm>
          <a:off x="5886450" y="26860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76200</xdr:rowOff>
    </xdr:from>
    <xdr:to>
      <xdr:col>3</xdr:col>
      <xdr:colOff>0</xdr:colOff>
      <xdr:row>14</xdr:row>
      <xdr:rowOff>161925</xdr:rowOff>
    </xdr:to>
    <xdr:sp>
      <xdr:nvSpPr>
        <xdr:cNvPr id="2" name="Line 4"/>
        <xdr:cNvSpPr>
          <a:spLocks/>
        </xdr:cNvSpPr>
      </xdr:nvSpPr>
      <xdr:spPr>
        <a:xfrm>
          <a:off x="4610100" y="27051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11</xdr:row>
      <xdr:rowOff>57150</xdr:rowOff>
    </xdr:from>
    <xdr:to>
      <xdr:col>4</xdr:col>
      <xdr:colOff>428625</xdr:colOff>
      <xdr:row>12</xdr:row>
      <xdr:rowOff>142875</xdr:rowOff>
    </xdr:to>
    <xdr:sp>
      <xdr:nvSpPr>
        <xdr:cNvPr id="1" name="Line 2"/>
        <xdr:cNvSpPr>
          <a:spLocks/>
        </xdr:cNvSpPr>
      </xdr:nvSpPr>
      <xdr:spPr>
        <a:xfrm>
          <a:off x="5810250" y="25241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76200</xdr:rowOff>
    </xdr:from>
    <xdr:to>
      <xdr:col>3</xdr:col>
      <xdr:colOff>0</xdr:colOff>
      <xdr:row>12</xdr:row>
      <xdr:rowOff>161925</xdr:rowOff>
    </xdr:to>
    <xdr:sp>
      <xdr:nvSpPr>
        <xdr:cNvPr id="2" name="Line 4"/>
        <xdr:cNvSpPr>
          <a:spLocks/>
        </xdr:cNvSpPr>
      </xdr:nvSpPr>
      <xdr:spPr>
        <a:xfrm>
          <a:off x="4352925" y="25431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11</xdr:row>
      <xdr:rowOff>57150</xdr:rowOff>
    </xdr:from>
    <xdr:to>
      <xdr:col>4</xdr:col>
      <xdr:colOff>428625</xdr:colOff>
      <xdr:row>12</xdr:row>
      <xdr:rowOff>142875</xdr:rowOff>
    </xdr:to>
    <xdr:sp>
      <xdr:nvSpPr>
        <xdr:cNvPr id="1" name="Line 2"/>
        <xdr:cNvSpPr>
          <a:spLocks/>
        </xdr:cNvSpPr>
      </xdr:nvSpPr>
      <xdr:spPr>
        <a:xfrm>
          <a:off x="5619750" y="24193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76200</xdr:rowOff>
    </xdr:from>
    <xdr:to>
      <xdr:col>3</xdr:col>
      <xdr:colOff>0</xdr:colOff>
      <xdr:row>12</xdr:row>
      <xdr:rowOff>161925</xdr:rowOff>
    </xdr:to>
    <xdr:sp>
      <xdr:nvSpPr>
        <xdr:cNvPr id="2" name="Line 4"/>
        <xdr:cNvSpPr>
          <a:spLocks/>
        </xdr:cNvSpPr>
      </xdr:nvSpPr>
      <xdr:spPr>
        <a:xfrm>
          <a:off x="4219575" y="24384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12</xdr:row>
      <xdr:rowOff>57150</xdr:rowOff>
    </xdr:from>
    <xdr:to>
      <xdr:col>4</xdr:col>
      <xdr:colOff>428625</xdr:colOff>
      <xdr:row>13</xdr:row>
      <xdr:rowOff>142875</xdr:rowOff>
    </xdr:to>
    <xdr:sp>
      <xdr:nvSpPr>
        <xdr:cNvPr id="1" name="Line 2"/>
        <xdr:cNvSpPr>
          <a:spLocks/>
        </xdr:cNvSpPr>
      </xdr:nvSpPr>
      <xdr:spPr>
        <a:xfrm>
          <a:off x="5734050" y="22383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76200</xdr:rowOff>
    </xdr:from>
    <xdr:to>
      <xdr:col>3</xdr:col>
      <xdr:colOff>0</xdr:colOff>
      <xdr:row>13</xdr:row>
      <xdr:rowOff>161925</xdr:rowOff>
    </xdr:to>
    <xdr:sp>
      <xdr:nvSpPr>
        <xdr:cNvPr id="2" name="Line 4"/>
        <xdr:cNvSpPr>
          <a:spLocks/>
        </xdr:cNvSpPr>
      </xdr:nvSpPr>
      <xdr:spPr>
        <a:xfrm>
          <a:off x="4381500" y="22574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9</xdr:row>
      <xdr:rowOff>76200</xdr:rowOff>
    </xdr:from>
    <xdr:to>
      <xdr:col>3</xdr:col>
      <xdr:colOff>342900</xdr:colOff>
      <xdr:row>10</xdr:row>
      <xdr:rowOff>161925</xdr:rowOff>
    </xdr:to>
    <xdr:sp>
      <xdr:nvSpPr>
        <xdr:cNvPr id="1" name="Line 2"/>
        <xdr:cNvSpPr>
          <a:spLocks/>
        </xdr:cNvSpPr>
      </xdr:nvSpPr>
      <xdr:spPr>
        <a:xfrm>
          <a:off x="4867275" y="20574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9</xdr:row>
      <xdr:rowOff>76200</xdr:rowOff>
    </xdr:from>
    <xdr:to>
      <xdr:col>2</xdr:col>
      <xdr:colOff>428625</xdr:colOff>
      <xdr:row>10</xdr:row>
      <xdr:rowOff>161925</xdr:rowOff>
    </xdr:to>
    <xdr:sp>
      <xdr:nvSpPr>
        <xdr:cNvPr id="2" name="Line 4"/>
        <xdr:cNvSpPr>
          <a:spLocks/>
        </xdr:cNvSpPr>
      </xdr:nvSpPr>
      <xdr:spPr>
        <a:xfrm>
          <a:off x="4133850" y="20574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3.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H134"/>
  <sheetViews>
    <sheetView tabSelected="1" workbookViewId="0" topLeftCell="A1">
      <selection activeCell="B2" sqref="B2"/>
    </sheetView>
  </sheetViews>
  <sheetFormatPr defaultColWidth="9.140625" defaultRowHeight="12.75"/>
  <cols>
    <col min="1" max="1" width="3.7109375" style="5" customWidth="1"/>
    <col min="2" max="2" width="10.8515625" style="5" customWidth="1"/>
    <col min="3" max="3" width="15.00390625" style="5" customWidth="1"/>
    <col min="4" max="4" width="13.8515625" style="5" customWidth="1"/>
    <col min="5" max="5" width="13.28125" style="5" customWidth="1"/>
    <col min="6" max="6" width="11.7109375" style="5" customWidth="1"/>
    <col min="7" max="7" width="12.57421875" style="5" customWidth="1"/>
    <col min="8" max="8" width="13.421875" style="5" customWidth="1"/>
    <col min="9" max="16384" width="9.140625" style="5" customWidth="1"/>
  </cols>
  <sheetData>
    <row r="2" ht="12.75">
      <c r="B2" s="53" t="s">
        <v>65</v>
      </c>
    </row>
    <row r="16" s="202" customFormat="1" ht="12.75"/>
    <row r="17" s="202" customFormat="1" ht="12.75"/>
    <row r="18" s="202" customFormat="1" ht="12.75"/>
    <row r="19" s="202" customFormat="1" ht="12.75"/>
    <row r="20" s="202" customFormat="1" ht="12.75"/>
    <row r="21" s="202" customFormat="1" ht="12.75"/>
    <row r="22" s="202" customFormat="1" ht="12.75"/>
    <row r="23" s="202" customFormat="1" ht="12.75"/>
    <row r="25" ht="12.75">
      <c r="B25" s="10" t="s">
        <v>74</v>
      </c>
    </row>
    <row r="26" ht="12.75">
      <c r="B26" s="10"/>
    </row>
    <row r="27" ht="12.75">
      <c r="B27" s="5" t="s">
        <v>242</v>
      </c>
    </row>
    <row r="29" ht="12.75">
      <c r="D29" s="6"/>
    </row>
    <row r="30" ht="12.75">
      <c r="D30" s="6"/>
    </row>
    <row r="32" ht="12.75">
      <c r="D32" s="6"/>
    </row>
    <row r="33" ht="12.75">
      <c r="D33" s="6"/>
    </row>
    <row r="37" ht="12.75">
      <c r="B37" s="10" t="s">
        <v>263</v>
      </c>
    </row>
    <row r="38" ht="12.75">
      <c r="B38" s="10"/>
    </row>
    <row r="39" ht="12.75">
      <c r="B39" s="10"/>
    </row>
    <row r="40" ht="12.75">
      <c r="B40" s="10"/>
    </row>
    <row r="41" ht="12.75">
      <c r="B41" s="10"/>
    </row>
    <row r="42" ht="12.75">
      <c r="B42" s="10"/>
    </row>
    <row r="43" ht="12.75">
      <c r="B43" s="10"/>
    </row>
    <row r="44" ht="12.75">
      <c r="B44" s="10"/>
    </row>
    <row r="45" ht="12.75">
      <c r="B45" s="10"/>
    </row>
    <row r="46" ht="12.75">
      <c r="B46" s="10"/>
    </row>
    <row r="47" ht="12.75">
      <c r="B47" s="10"/>
    </row>
    <row r="48" ht="12.75">
      <c r="B48" s="10"/>
    </row>
    <row r="49" ht="12.75">
      <c r="B49" s="10"/>
    </row>
    <row r="50" ht="12.75">
      <c r="B50" s="10"/>
    </row>
    <row r="51" ht="12.75">
      <c r="B51" s="10"/>
    </row>
    <row r="52" ht="12.75">
      <c r="B52" s="10"/>
    </row>
    <row r="53" ht="12.75">
      <c r="B53" s="10"/>
    </row>
    <row r="54" ht="12.75">
      <c r="B54" s="10"/>
    </row>
    <row r="55" ht="12.75">
      <c r="B55" s="10"/>
    </row>
    <row r="56" ht="12.75">
      <c r="B56" s="10"/>
    </row>
    <row r="57" ht="12.75">
      <c r="B57" s="10"/>
    </row>
    <row r="58" ht="12.75">
      <c r="B58" s="10"/>
    </row>
    <row r="59" ht="12.75">
      <c r="B59" s="10"/>
    </row>
    <row r="60" ht="12.75">
      <c r="B60" s="10"/>
    </row>
    <row r="61" ht="12.75">
      <c r="B61" s="10"/>
    </row>
    <row r="62" ht="12.75">
      <c r="B62" s="10"/>
    </row>
    <row r="63" ht="12.75">
      <c r="B63" s="10"/>
    </row>
    <row r="64" ht="12.75">
      <c r="B64" s="10"/>
    </row>
    <row r="65" ht="12.75">
      <c r="B65" s="10"/>
    </row>
    <row r="66" spans="2:5" ht="12.75">
      <c r="B66" s="121" t="s">
        <v>65</v>
      </c>
      <c r="D66" s="7"/>
      <c r="E66" s="7"/>
    </row>
    <row r="67" spans="4:5" ht="12.75">
      <c r="D67" s="7"/>
      <c r="E67" s="7"/>
    </row>
    <row r="68" spans="4:5" s="138" customFormat="1" ht="12.75">
      <c r="D68" s="141"/>
      <c r="E68" s="141"/>
    </row>
    <row r="69" spans="4:5" s="138" customFormat="1" ht="12.75">
      <c r="D69" s="141"/>
      <c r="E69" s="141"/>
    </row>
    <row r="70" spans="4:5" s="138" customFormat="1" ht="12.75">
      <c r="D70" s="141"/>
      <c r="E70" s="141"/>
    </row>
    <row r="71" spans="4:5" s="138" customFormat="1" ht="12.75">
      <c r="D71" s="141"/>
      <c r="E71" s="141"/>
    </row>
    <row r="72" spans="4:5" s="138" customFormat="1" ht="12.75">
      <c r="D72" s="141"/>
      <c r="E72" s="141"/>
    </row>
    <row r="73" spans="4:5" s="138" customFormat="1" ht="12.75">
      <c r="D73" s="141"/>
      <c r="E73" s="141"/>
    </row>
    <row r="74" spans="4:5" s="138" customFormat="1" ht="12.75">
      <c r="D74" s="141"/>
      <c r="E74" s="141"/>
    </row>
    <row r="75" spans="4:5" s="138" customFormat="1" ht="12.75">
      <c r="D75" s="141"/>
      <c r="E75" s="141"/>
    </row>
    <row r="76" spans="2:5" ht="12.75">
      <c r="B76" s="10" t="s">
        <v>104</v>
      </c>
      <c r="D76" s="7"/>
      <c r="E76" s="7"/>
    </row>
    <row r="77" spans="4:5" ht="13.5" thickBot="1">
      <c r="D77" s="7"/>
      <c r="E77" s="7"/>
    </row>
    <row r="78" spans="3:5" ht="12.75">
      <c r="C78" s="181"/>
      <c r="D78" s="5" t="s">
        <v>105</v>
      </c>
      <c r="E78" s="7"/>
    </row>
    <row r="79" spans="3:5" ht="12.75">
      <c r="C79" s="182"/>
      <c r="D79" s="5" t="s">
        <v>244</v>
      </c>
      <c r="E79" s="7"/>
    </row>
    <row r="80" spans="3:5" ht="12.75">
      <c r="C80" s="183"/>
      <c r="D80" s="5" t="s">
        <v>106</v>
      </c>
      <c r="E80" s="7"/>
    </row>
    <row r="81" spans="3:5" ht="12.75">
      <c r="C81" s="184"/>
      <c r="D81" s="5" t="s">
        <v>107</v>
      </c>
      <c r="E81" s="7"/>
    </row>
    <row r="82" spans="3:5" ht="13.5" thickBot="1">
      <c r="C82" s="185"/>
      <c r="D82" s="5" t="s">
        <v>245</v>
      </c>
      <c r="E82" s="7"/>
    </row>
    <row r="85" ht="12.75">
      <c r="B85" s="10" t="s">
        <v>351</v>
      </c>
    </row>
    <row r="86" ht="12.75">
      <c r="B86" s="10"/>
    </row>
    <row r="87" ht="12.75">
      <c r="B87" s="10"/>
    </row>
    <row r="88" ht="12.75">
      <c r="B88" s="10"/>
    </row>
    <row r="89" ht="12.75">
      <c r="B89" s="10"/>
    </row>
    <row r="90" ht="12.75">
      <c r="B90" s="10"/>
    </row>
    <row r="93" ht="12.75">
      <c r="B93" s="10" t="s">
        <v>246</v>
      </c>
    </row>
    <row r="95" ht="12.75">
      <c r="B95" s="5" t="s">
        <v>65</v>
      </c>
    </row>
    <row r="104" ht="12.75">
      <c r="D104" s="7"/>
    </row>
    <row r="105" ht="12.75">
      <c r="D105" s="8"/>
    </row>
    <row r="106" ht="12.75">
      <c r="D106" s="8"/>
    </row>
    <row r="107" ht="12.75">
      <c r="D107" s="8"/>
    </row>
    <row r="112" spans="4:8" ht="12.75">
      <c r="D112" s="9"/>
      <c r="E112" s="9"/>
      <c r="F112" s="9"/>
      <c r="G112" s="9"/>
      <c r="H112" s="9"/>
    </row>
    <row r="113" spans="4:8" ht="12.75">
      <c r="D113" s="9"/>
      <c r="E113" s="9"/>
      <c r="F113" s="9"/>
      <c r="G113" s="9"/>
      <c r="H113" s="9"/>
    </row>
    <row r="114" spans="4:8" ht="12.75">
      <c r="D114" s="9"/>
      <c r="E114" s="9"/>
      <c r="F114" s="9"/>
      <c r="G114" s="9"/>
      <c r="H114" s="9"/>
    </row>
    <row r="115" spans="4:8" ht="12.75">
      <c r="D115" s="9"/>
      <c r="E115" s="9"/>
      <c r="F115" s="9"/>
      <c r="G115" s="9"/>
      <c r="H115" s="9"/>
    </row>
    <row r="116" spans="4:8" ht="12.75">
      <c r="D116" s="9"/>
      <c r="E116" s="9"/>
      <c r="F116" s="9"/>
      <c r="G116" s="9"/>
      <c r="H116" s="9"/>
    </row>
    <row r="117" spans="4:8" ht="12.75">
      <c r="D117" s="9"/>
      <c r="E117" s="9"/>
      <c r="F117" s="9"/>
      <c r="G117" s="9"/>
      <c r="H117" s="9"/>
    </row>
    <row r="118" spans="4:8" ht="12.75">
      <c r="D118" s="9"/>
      <c r="E118" s="9"/>
      <c r="F118" s="9"/>
      <c r="G118" s="9"/>
      <c r="H118" s="9"/>
    </row>
    <row r="119" spans="4:8" ht="12.75">
      <c r="D119" s="9"/>
      <c r="E119" s="9"/>
      <c r="F119" s="9"/>
      <c r="G119" s="9"/>
      <c r="H119" s="9"/>
    </row>
    <row r="120" spans="4:8" ht="12.75">
      <c r="D120" s="9"/>
      <c r="E120" s="9"/>
      <c r="F120" s="9"/>
      <c r="G120" s="9"/>
      <c r="H120" s="9"/>
    </row>
    <row r="121" spans="4:8" ht="12.75">
      <c r="D121" s="9"/>
      <c r="E121" s="9"/>
      <c r="F121" s="9"/>
      <c r="G121" s="9"/>
      <c r="H121" s="9"/>
    </row>
    <row r="122" spans="4:8" ht="12.75">
      <c r="D122" s="9"/>
      <c r="E122" s="9"/>
      <c r="F122" s="9"/>
      <c r="G122" s="9"/>
      <c r="H122" s="9"/>
    </row>
    <row r="123" spans="4:8" ht="12.75">
      <c r="D123" s="9"/>
      <c r="E123" s="9"/>
      <c r="F123" s="9"/>
      <c r="G123" s="9"/>
      <c r="H123" s="9"/>
    </row>
    <row r="124" spans="4:8" ht="12.75">
      <c r="D124" s="9"/>
      <c r="E124" s="9"/>
      <c r="F124" s="9"/>
      <c r="G124" s="9"/>
      <c r="H124" s="9"/>
    </row>
    <row r="125" spans="4:8" ht="12.75">
      <c r="D125" s="9"/>
      <c r="E125" s="9"/>
      <c r="F125" s="9"/>
      <c r="G125" s="9"/>
      <c r="H125" s="9"/>
    </row>
    <row r="126" spans="4:8" ht="12.75">
      <c r="D126" s="9"/>
      <c r="E126" s="9"/>
      <c r="F126" s="9"/>
      <c r="G126" s="9"/>
      <c r="H126" s="9"/>
    </row>
    <row r="127" spans="4:8" ht="12.75">
      <c r="D127" s="9"/>
      <c r="E127" s="9"/>
      <c r="F127" s="9"/>
      <c r="G127" s="9"/>
      <c r="H127" s="9"/>
    </row>
    <row r="128" spans="4:8" ht="12.75">
      <c r="D128" s="9"/>
      <c r="E128" s="9"/>
      <c r="F128" s="9"/>
      <c r="G128" s="9"/>
      <c r="H128" s="9"/>
    </row>
    <row r="129" spans="4:8" ht="12.75">
      <c r="D129" s="9"/>
      <c r="E129" s="9"/>
      <c r="F129" s="9"/>
      <c r="G129" s="9"/>
      <c r="H129" s="9"/>
    </row>
    <row r="130" spans="4:8" ht="12.75">
      <c r="D130" s="9"/>
      <c r="E130" s="9"/>
      <c r="F130" s="9"/>
      <c r="G130" s="9"/>
      <c r="H130" s="9"/>
    </row>
    <row r="131" spans="4:8" ht="12.75">
      <c r="D131" s="9"/>
      <c r="E131" s="9"/>
      <c r="F131" s="9"/>
      <c r="G131" s="9"/>
      <c r="H131" s="9"/>
    </row>
    <row r="132" spans="4:8" ht="12.75">
      <c r="D132" s="9"/>
      <c r="E132" s="9"/>
      <c r="F132" s="9"/>
      <c r="G132" s="9"/>
      <c r="H132" s="9"/>
    </row>
    <row r="133" spans="4:8" ht="12.75">
      <c r="D133" s="9"/>
      <c r="E133" s="9"/>
      <c r="F133" s="9"/>
      <c r="G133" s="9"/>
      <c r="H133" s="9"/>
    </row>
    <row r="134" spans="4:8" ht="12.75">
      <c r="D134" s="9"/>
      <c r="E134" s="9"/>
      <c r="F134" s="9"/>
      <c r="G134" s="9"/>
      <c r="H134" s="9"/>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9"/>
  <dimension ref="B2:M24"/>
  <sheetViews>
    <sheetView workbookViewId="0" topLeftCell="A1">
      <selection activeCell="C25" sqref="C25"/>
    </sheetView>
  </sheetViews>
  <sheetFormatPr defaultColWidth="9.140625" defaultRowHeight="12.75" outlineLevelRow="1"/>
  <cols>
    <col min="1" max="1" width="7.140625" style="0" customWidth="1"/>
    <col min="2" max="2" width="49.421875" style="0" customWidth="1"/>
    <col min="4" max="4" width="13.8515625" style="0" customWidth="1"/>
    <col min="5" max="5" width="14.57421875" style="41" customWidth="1"/>
    <col min="6" max="6" width="9.57421875" style="21" customWidth="1"/>
    <col min="7" max="7" width="8.00390625" style="21" customWidth="1"/>
    <col min="9" max="9" width="8.140625" style="0" customWidth="1"/>
    <col min="10" max="10" width="4.00390625" style="5" customWidth="1"/>
    <col min="11" max="11" width="11.7109375" style="0" customWidth="1"/>
    <col min="12" max="12" width="12.421875" style="0" customWidth="1"/>
    <col min="13" max="13" width="14.140625" style="0" customWidth="1"/>
  </cols>
  <sheetData>
    <row r="2" spans="2:3" ht="12.75">
      <c r="B2" s="13" t="s">
        <v>92</v>
      </c>
      <c r="C2" s="205">
        <f>IF('Preliminary Information'!D21,1,0)</f>
        <v>1</v>
      </c>
    </row>
    <row r="3" spans="2:12" ht="42.75" customHeight="1">
      <c r="B3" s="380" t="s">
        <v>377</v>
      </c>
      <c r="C3" s="381"/>
      <c r="D3" s="381"/>
      <c r="E3" s="381"/>
      <c r="F3" s="381"/>
      <c r="G3" s="381"/>
      <c r="H3" s="381"/>
      <c r="I3" s="374"/>
      <c r="J3" s="374"/>
      <c r="K3" s="374"/>
      <c r="L3" s="374"/>
    </row>
    <row r="4" spans="2:12" ht="12.75" hidden="1">
      <c r="B4" s="380"/>
      <c r="C4" s="381"/>
      <c r="D4" s="381"/>
      <c r="E4" s="381"/>
      <c r="F4" s="381"/>
      <c r="G4" s="381"/>
      <c r="H4" s="381"/>
      <c r="I4" s="374"/>
      <c r="J4" s="374"/>
      <c r="K4" s="374"/>
      <c r="L4" s="374"/>
    </row>
    <row r="6" ht="13.5" thickBot="1">
      <c r="B6" s="11" t="s">
        <v>75</v>
      </c>
    </row>
    <row r="7" spans="2:4" ht="12.75">
      <c r="B7" s="19" t="s">
        <v>128</v>
      </c>
      <c r="C7" s="219"/>
      <c r="D7" s="125">
        <f>Summary!D6</f>
        <v>4000000000</v>
      </c>
    </row>
    <row r="8" spans="2:5" ht="12.75">
      <c r="B8" s="14" t="s">
        <v>394</v>
      </c>
      <c r="C8" s="59" t="s">
        <v>65</v>
      </c>
      <c r="D8" s="338">
        <f>Summary!D11</f>
        <v>5856400000.000002</v>
      </c>
      <c r="E8" s="60"/>
    </row>
    <row r="9" spans="2:5" ht="13.5" thickBot="1">
      <c r="B9" s="18" t="s">
        <v>40</v>
      </c>
      <c r="C9" s="239">
        <v>0.01</v>
      </c>
      <c r="D9" s="164">
        <f>C9*D8</f>
        <v>58564000.00000002</v>
      </c>
      <c r="E9" s="60"/>
    </row>
    <row r="10" spans="2:5" ht="12.75">
      <c r="B10" s="89" t="s">
        <v>65</v>
      </c>
      <c r="C10" s="101" t="s">
        <v>65</v>
      </c>
      <c r="D10" s="59"/>
      <c r="E10" s="60"/>
    </row>
    <row r="11" ht="12.75">
      <c r="C11" s="3"/>
    </row>
    <row r="12" ht="12.75">
      <c r="C12" s="3"/>
    </row>
    <row r="13" spans="3:7" ht="12.75">
      <c r="C13" s="3"/>
      <c r="G13" s="21" t="s">
        <v>65</v>
      </c>
    </row>
    <row r="14" spans="3:7" ht="13.5" thickBot="1">
      <c r="C14" s="3"/>
      <c r="D14" s="3" t="s">
        <v>65</v>
      </c>
      <c r="G14" s="21" t="s">
        <v>65</v>
      </c>
    </row>
    <row r="15" spans="2:13" ht="56.25" customHeight="1" thickBot="1">
      <c r="B15" s="48" t="s">
        <v>349</v>
      </c>
      <c r="C15" s="370" t="s">
        <v>83</v>
      </c>
      <c r="D15" s="363"/>
      <c r="E15" s="46" t="s">
        <v>375</v>
      </c>
      <c r="F15" s="364" t="s">
        <v>348</v>
      </c>
      <c r="G15" s="365"/>
      <c r="H15" s="366" t="s">
        <v>376</v>
      </c>
      <c r="I15" s="367"/>
      <c r="K15" s="47" t="s">
        <v>35</v>
      </c>
      <c r="L15" s="43" t="s">
        <v>36</v>
      </c>
      <c r="M15" s="43" t="s">
        <v>37</v>
      </c>
    </row>
    <row r="16" spans="2:13" ht="12.75">
      <c r="B16" s="143" t="s">
        <v>31</v>
      </c>
      <c r="C16" s="145" t="s">
        <v>84</v>
      </c>
      <c r="D16" s="231">
        <v>0.4</v>
      </c>
      <c r="E16" s="44"/>
      <c r="F16" s="24"/>
      <c r="G16" s="22">
        <f>D16*$C$9</f>
        <v>0.004</v>
      </c>
      <c r="H16" s="45" t="s">
        <v>65</v>
      </c>
      <c r="I16" s="33">
        <f>H17+H18</f>
        <v>0.00288</v>
      </c>
      <c r="K16" s="49">
        <f>SUM(K17:K18)</f>
        <v>0</v>
      </c>
      <c r="L16" s="49">
        <f>SUM(L17:L18)</f>
        <v>0</v>
      </c>
      <c r="M16" s="49">
        <f>SUM(M17:M18)</f>
        <v>6559168.000000001</v>
      </c>
    </row>
    <row r="17" spans="2:13" ht="12.75" outlineLevel="1">
      <c r="B17" s="27" t="s">
        <v>32</v>
      </c>
      <c r="C17" s="232">
        <v>0.3</v>
      </c>
      <c r="D17" s="16" t="s">
        <v>65</v>
      </c>
      <c r="E17" s="236">
        <v>0.7</v>
      </c>
      <c r="F17" s="24">
        <f>$G$16*C17</f>
        <v>0.0012</v>
      </c>
      <c r="G17" s="22" t="s">
        <v>65</v>
      </c>
      <c r="H17" s="45">
        <f>F17*(1-E17)</f>
        <v>0.00036</v>
      </c>
      <c r="I17" s="33"/>
      <c r="K17" s="34">
        <v>0</v>
      </c>
      <c r="L17" s="34">
        <v>0</v>
      </c>
      <c r="M17" s="34">
        <f>(F17-H17)*$D$8</f>
        <v>4919376.000000001</v>
      </c>
    </row>
    <row r="18" spans="2:13" ht="12.75" outlineLevel="1">
      <c r="B18" s="27" t="s">
        <v>33</v>
      </c>
      <c r="C18" s="40">
        <f>1-C17</f>
        <v>0.7</v>
      </c>
      <c r="D18" s="15"/>
      <c r="E18" s="236">
        <v>0.1</v>
      </c>
      <c r="F18" s="24">
        <f>$G$16*C18</f>
        <v>0.0028</v>
      </c>
      <c r="G18" s="22" t="s">
        <v>65</v>
      </c>
      <c r="H18" s="45">
        <f>F18*(1-E18)</f>
        <v>0.00252</v>
      </c>
      <c r="I18" s="33"/>
      <c r="K18" s="34">
        <v>0</v>
      </c>
      <c r="L18" s="34">
        <v>0</v>
      </c>
      <c r="M18" s="34">
        <f>(F18-H18)*$D$8</f>
        <v>1639791.9999999998</v>
      </c>
    </row>
    <row r="19" spans="2:13" ht="12.75" outlineLevel="1">
      <c r="B19" s="143" t="s">
        <v>38</v>
      </c>
      <c r="C19" s="145" t="s">
        <v>84</v>
      </c>
      <c r="D19" s="231">
        <v>0.5</v>
      </c>
      <c r="E19" s="16"/>
      <c r="F19" s="24"/>
      <c r="G19" s="22">
        <f>D19*$C$9</f>
        <v>0.005</v>
      </c>
      <c r="H19" s="45"/>
      <c r="I19" s="33">
        <f>H20+H21</f>
        <v>0.0039499999999999995</v>
      </c>
      <c r="K19" s="49">
        <f>SUM(K20:K21)</f>
        <v>0</v>
      </c>
      <c r="L19" s="49">
        <f>SUM(L20:L21)</f>
        <v>0</v>
      </c>
      <c r="M19" s="49">
        <f>SUM(M20:M21)</f>
        <v>6149220.000000003</v>
      </c>
    </row>
    <row r="20" spans="2:13" ht="12.75" outlineLevel="1">
      <c r="B20" s="27" t="s">
        <v>34</v>
      </c>
      <c r="C20" s="232">
        <v>0.3</v>
      </c>
      <c r="D20" s="15"/>
      <c r="E20" s="236">
        <v>0</v>
      </c>
      <c r="F20" s="24">
        <f>$G$19*C20</f>
        <v>0.0015</v>
      </c>
      <c r="G20" s="22" t="s">
        <v>65</v>
      </c>
      <c r="H20" s="45">
        <f>F20*(1-E20)</f>
        <v>0.0015</v>
      </c>
      <c r="I20" s="33"/>
      <c r="K20" s="34">
        <v>0</v>
      </c>
      <c r="L20" s="34">
        <v>0</v>
      </c>
      <c r="M20" s="34">
        <f>(F20-H20)*$D$8</f>
        <v>0</v>
      </c>
    </row>
    <row r="21" spans="2:13" ht="12.75" outlineLevel="1">
      <c r="B21" s="27" t="s">
        <v>39</v>
      </c>
      <c r="C21" s="40">
        <f>1-C20</f>
        <v>0.7</v>
      </c>
      <c r="D21" s="15"/>
      <c r="E21" s="236">
        <v>0.3</v>
      </c>
      <c r="F21" s="24">
        <f>$G$19*C21</f>
        <v>0.0034999999999999996</v>
      </c>
      <c r="G21" s="22" t="s">
        <v>65</v>
      </c>
      <c r="H21" s="45">
        <f>F21*(1-E21)</f>
        <v>0.0024499999999999995</v>
      </c>
      <c r="I21" s="33"/>
      <c r="K21" s="34">
        <v>0</v>
      </c>
      <c r="L21" s="34">
        <v>0</v>
      </c>
      <c r="M21" s="34">
        <f>(F21-H21)*$D$8</f>
        <v>6149220.000000003</v>
      </c>
    </row>
    <row r="22" spans="2:13" ht="12.75">
      <c r="B22" s="144" t="s">
        <v>103</v>
      </c>
      <c r="C22" s="145" t="s">
        <v>84</v>
      </c>
      <c r="D22" s="16">
        <f>1-D19-D16</f>
        <v>0.09999999999999998</v>
      </c>
      <c r="E22" s="236">
        <v>0.1</v>
      </c>
      <c r="F22" s="51">
        <f>G22</f>
        <v>0.0009999999999999998</v>
      </c>
      <c r="G22" s="22">
        <f>D22*$C$9</f>
        <v>0.0009999999999999998</v>
      </c>
      <c r="H22" s="45">
        <f>F22*(1-E22)</f>
        <v>0.0008999999999999999</v>
      </c>
      <c r="I22" s="33">
        <f>H22</f>
        <v>0.0008999999999999999</v>
      </c>
      <c r="K22" s="49">
        <v>0</v>
      </c>
      <c r="L22" s="49">
        <v>0</v>
      </c>
      <c r="M22" s="49">
        <f>(F22-H22)*$D$8</f>
        <v>585639.9999999998</v>
      </c>
    </row>
    <row r="23" spans="2:13" ht="13.5" thickBot="1">
      <c r="B23" s="18"/>
      <c r="C23" s="36" t="s">
        <v>85</v>
      </c>
      <c r="D23" s="37">
        <f>D16+D19+D22</f>
        <v>1</v>
      </c>
      <c r="E23" s="42"/>
      <c r="F23" s="38">
        <f>SUM(F16:F22)</f>
        <v>0.009999999999999998</v>
      </c>
      <c r="G23" s="38">
        <f>SUM(G16:G22)</f>
        <v>0.01</v>
      </c>
      <c r="H23" s="38">
        <f>SUM(H16:H22)</f>
        <v>0.007729999999999999</v>
      </c>
      <c r="I23" s="140">
        <f>SUM(I16:I22)</f>
        <v>0.007729999999999999</v>
      </c>
      <c r="K23" s="39">
        <f>SUM(K16,K19,K22)*Obsoles_flag</f>
        <v>0</v>
      </c>
      <c r="L23" s="39">
        <f>SUM(L16,L19,L22)*Obsoles_flag</f>
        <v>0</v>
      </c>
      <c r="M23" s="39">
        <f>SUM(M16,M19,M22)*Obsoles_flag</f>
        <v>13294028.000000004</v>
      </c>
    </row>
    <row r="24" ht="12.75">
      <c r="D24" t="s">
        <v>65</v>
      </c>
    </row>
  </sheetData>
  <sheetProtection sheet="1" objects="1" scenarios="1"/>
  <protectedRanges>
    <protectedRange sqref="C10" name="OOS Sheet"/>
  </protectedRanges>
  <mergeCells count="4">
    <mergeCell ref="B3:L4"/>
    <mergeCell ref="F15:G15"/>
    <mergeCell ref="H15:I15"/>
    <mergeCell ref="C15:D15"/>
  </mergeCells>
  <printOptions/>
  <pageMargins left="0.75" right="0.75" top="1" bottom="1" header="0.5" footer="0.5"/>
  <pageSetup orientation="portrait" r:id="rId3"/>
  <drawing r:id="rId2"/>
  <legacyDrawing r:id="rId1"/>
</worksheet>
</file>

<file path=xl/worksheets/sheet11.xml><?xml version="1.0" encoding="utf-8"?>
<worksheet xmlns="http://schemas.openxmlformats.org/spreadsheetml/2006/main" xmlns:r="http://schemas.openxmlformats.org/officeDocument/2006/relationships">
  <sheetPr codeName="Sheet10"/>
  <dimension ref="A2:I34"/>
  <sheetViews>
    <sheetView workbookViewId="0" topLeftCell="A1">
      <selection activeCell="D15" sqref="D15"/>
    </sheetView>
  </sheetViews>
  <sheetFormatPr defaultColWidth="9.140625" defaultRowHeight="12.75" outlineLevelRow="1"/>
  <cols>
    <col min="1" max="1" width="7.140625" style="0" customWidth="1"/>
    <col min="2" max="2" width="48.421875" style="0" customWidth="1"/>
    <col min="3" max="3" width="12.28125" style="0" customWidth="1"/>
    <col min="4" max="4" width="15.7109375" style="0" customWidth="1"/>
    <col min="5" max="5" width="12.28125" style="0" customWidth="1"/>
    <col min="6" max="6" width="6.7109375" style="41" customWidth="1"/>
    <col min="7" max="7" width="10.8515625" style="41" customWidth="1"/>
    <col min="8" max="8" width="12.140625" style="21" customWidth="1"/>
    <col min="9" max="9" width="11.421875" style="21" customWidth="1"/>
    <col min="10" max="10" width="12.140625" style="41" customWidth="1"/>
    <col min="11" max="11" width="11.7109375" style="0" customWidth="1"/>
    <col min="12" max="12" width="12.421875" style="0" customWidth="1"/>
  </cols>
  <sheetData>
    <row r="2" spans="2:3" ht="12.75">
      <c r="B2" s="13" t="s">
        <v>166</v>
      </c>
      <c r="C2" s="205">
        <f>IF('Preliminary Information'!D22,1,0)</f>
        <v>1</v>
      </c>
    </row>
    <row r="3" spans="2:9" ht="52.5" customHeight="1">
      <c r="B3" s="382" t="s">
        <v>378</v>
      </c>
      <c r="C3" s="374"/>
      <c r="D3" s="374"/>
      <c r="E3" s="374"/>
      <c r="F3" s="374"/>
      <c r="G3" s="374"/>
      <c r="H3" s="374"/>
      <c r="I3" s="374"/>
    </row>
    <row r="5" ht="13.5" thickBot="1">
      <c r="B5" s="11" t="s">
        <v>75</v>
      </c>
    </row>
    <row r="6" spans="2:4" ht="13.5" thickBot="1">
      <c r="B6" s="58" t="s">
        <v>169</v>
      </c>
      <c r="C6" s="165">
        <f>Summary!D9</f>
        <v>0.15</v>
      </c>
      <c r="D6" s="101"/>
    </row>
    <row r="7" spans="2:4" ht="12.75">
      <c r="B7" s="89" t="s">
        <v>65</v>
      </c>
      <c r="C7" s="101" t="s">
        <v>65</v>
      </c>
      <c r="D7" s="76"/>
    </row>
    <row r="8" spans="2:4" ht="12.75">
      <c r="B8" s="89"/>
      <c r="C8" s="101"/>
      <c r="D8" s="76"/>
    </row>
    <row r="9" spans="3:4" ht="12.75">
      <c r="C9" s="3"/>
      <c r="D9" s="3"/>
    </row>
    <row r="10" spans="3:9" ht="12.75">
      <c r="C10" s="3"/>
      <c r="D10" s="3"/>
      <c r="I10" s="78" t="s">
        <v>65</v>
      </c>
    </row>
    <row r="11" spans="3:9" ht="13.5" thickBot="1">
      <c r="C11" s="3" t="s">
        <v>65</v>
      </c>
      <c r="D11" s="3"/>
      <c r="I11" s="78" t="s">
        <v>65</v>
      </c>
    </row>
    <row r="12" spans="2:9" ht="39.75" customHeight="1" thickBot="1">
      <c r="B12" s="85" t="s">
        <v>167</v>
      </c>
      <c r="C12" s="82" t="s">
        <v>173</v>
      </c>
      <c r="D12" s="46" t="s">
        <v>341</v>
      </c>
      <c r="E12" s="74" t="s">
        <v>170</v>
      </c>
      <c r="G12" s="148" t="s">
        <v>35</v>
      </c>
      <c r="H12" s="75" t="s">
        <v>36</v>
      </c>
      <c r="I12" s="75" t="s">
        <v>43</v>
      </c>
    </row>
    <row r="13" spans="2:9" ht="12.75">
      <c r="B13" s="65" t="s">
        <v>205</v>
      </c>
      <c r="C13" s="83" t="s">
        <v>65</v>
      </c>
      <c r="D13" s="33"/>
      <c r="E13" s="22" t="s">
        <v>65</v>
      </c>
      <c r="G13" s="49">
        <f>G14</f>
        <v>0</v>
      </c>
      <c r="H13" s="55">
        <f>SUM(H14:H14)</f>
        <v>0</v>
      </c>
      <c r="I13" s="52">
        <f>I14+I15</f>
        <v>460000</v>
      </c>
    </row>
    <row r="14" spans="2:9" ht="12.75" outlineLevel="1">
      <c r="B14" s="86" t="s">
        <v>271</v>
      </c>
      <c r="C14" s="63">
        <f>Summary!D6*Summary!D10</f>
        <v>40000000</v>
      </c>
      <c r="D14" s="240">
        <v>0.01</v>
      </c>
      <c r="E14" s="32">
        <f>D14*C14</f>
        <v>400000</v>
      </c>
      <c r="G14" s="149">
        <v>0</v>
      </c>
      <c r="H14" s="1">
        <v>0</v>
      </c>
      <c r="I14" s="79">
        <f>E14</f>
        <v>400000</v>
      </c>
    </row>
    <row r="15" spans="2:9" ht="12.75" outlineLevel="1">
      <c r="B15" s="86" t="s">
        <v>264</v>
      </c>
      <c r="C15" s="63">
        <f>C14*C6</f>
        <v>6000000</v>
      </c>
      <c r="D15" s="33">
        <v>0.01</v>
      </c>
      <c r="E15" s="32">
        <f>C15*D15</f>
        <v>60000</v>
      </c>
      <c r="G15" s="149"/>
      <c r="H15" s="1"/>
      <c r="I15" s="79">
        <f>E15</f>
        <v>60000</v>
      </c>
    </row>
    <row r="16" spans="2:9" ht="12.75">
      <c r="B16" s="65" t="s">
        <v>171</v>
      </c>
      <c r="C16" s="83" t="s">
        <v>65</v>
      </c>
      <c r="D16" s="33"/>
      <c r="E16" s="32" t="s">
        <v>65</v>
      </c>
      <c r="G16" s="49">
        <f>G17</f>
        <v>0</v>
      </c>
      <c r="H16" s="55">
        <f>H17</f>
        <v>0</v>
      </c>
      <c r="I16" s="52">
        <f>I17</f>
        <v>40000</v>
      </c>
    </row>
    <row r="17" spans="2:9" ht="12.75" outlineLevel="1">
      <c r="B17" s="87" t="s">
        <v>265</v>
      </c>
      <c r="C17" s="233">
        <v>100000</v>
      </c>
      <c r="D17" s="240">
        <v>0.4</v>
      </c>
      <c r="E17" s="32">
        <f>D17*C17</f>
        <v>40000</v>
      </c>
      <c r="G17" s="69">
        <v>0</v>
      </c>
      <c r="H17" s="1">
        <v>0</v>
      </c>
      <c r="I17" s="79">
        <f>E17</f>
        <v>40000</v>
      </c>
    </row>
    <row r="18" spans="2:9" ht="12.75">
      <c r="B18" s="146" t="s">
        <v>172</v>
      </c>
      <c r="C18" s="72"/>
      <c r="D18" s="33"/>
      <c r="E18" s="32" t="s">
        <v>65</v>
      </c>
      <c r="G18" s="49">
        <f>G19+G20</f>
        <v>0</v>
      </c>
      <c r="H18" s="55">
        <f>H19+H20</f>
        <v>0</v>
      </c>
      <c r="I18" s="52">
        <f>I19+I20</f>
        <v>11000</v>
      </c>
    </row>
    <row r="19" spans="2:9" ht="12.75" outlineLevel="1">
      <c r="B19" s="77" t="s">
        <v>266</v>
      </c>
      <c r="C19" s="233">
        <v>50000</v>
      </c>
      <c r="D19" s="240">
        <v>0.2</v>
      </c>
      <c r="E19" s="32">
        <f>C19*D19</f>
        <v>10000</v>
      </c>
      <c r="G19" s="69">
        <v>0</v>
      </c>
      <c r="H19" s="1">
        <v>0</v>
      </c>
      <c r="I19" s="79">
        <f>E19</f>
        <v>10000</v>
      </c>
    </row>
    <row r="20" spans="2:9" ht="25.5" outlineLevel="1">
      <c r="B20" s="77" t="s">
        <v>174</v>
      </c>
      <c r="C20" s="233">
        <v>5000</v>
      </c>
      <c r="D20" s="240">
        <v>0.2</v>
      </c>
      <c r="E20" s="32">
        <f>C20*D20</f>
        <v>1000</v>
      </c>
      <c r="G20" s="69">
        <v>0</v>
      </c>
      <c r="H20" s="1">
        <v>0</v>
      </c>
      <c r="I20" s="79">
        <f>E20</f>
        <v>1000</v>
      </c>
    </row>
    <row r="21" spans="2:9" ht="12.75">
      <c r="B21" s="65" t="s">
        <v>267</v>
      </c>
      <c r="C21" s="83" t="s">
        <v>65</v>
      </c>
      <c r="D21" s="33"/>
      <c r="E21" s="32" t="s">
        <v>65</v>
      </c>
      <c r="G21" s="49">
        <f>G22</f>
        <v>0</v>
      </c>
      <c r="H21" s="55">
        <f>H22</f>
        <v>0</v>
      </c>
      <c r="I21" s="52">
        <f>I22</f>
        <v>4000</v>
      </c>
    </row>
    <row r="22" spans="2:9" ht="12.75" outlineLevel="1">
      <c r="B22" s="86" t="s">
        <v>175</v>
      </c>
      <c r="C22" s="233">
        <v>20000</v>
      </c>
      <c r="D22" s="240">
        <v>0.2</v>
      </c>
      <c r="E22" s="32">
        <f>C22*D22</f>
        <v>4000</v>
      </c>
      <c r="G22" s="69">
        <v>0</v>
      </c>
      <c r="H22" s="1">
        <v>0</v>
      </c>
      <c r="I22" s="79">
        <f>E22</f>
        <v>4000</v>
      </c>
    </row>
    <row r="23" spans="2:9" ht="13.5" thickBot="1">
      <c r="B23" s="147" t="s">
        <v>176</v>
      </c>
      <c r="C23" s="130">
        <f>C14+C15+C17+C19+C20+C22</f>
        <v>46175000</v>
      </c>
      <c r="D23" s="81"/>
      <c r="E23" s="70">
        <f>SUM(E13:E22)</f>
        <v>515000</v>
      </c>
      <c r="G23" s="39">
        <f>(G13+G16+G18+G21)*PP_flag</f>
        <v>0</v>
      </c>
      <c r="H23" s="167">
        <f>(H13+H16+H18+H21)*PP_flag</f>
        <v>0</v>
      </c>
      <c r="I23" s="70">
        <f>(I13+I16+I18+I21)*PP_flag</f>
        <v>515000</v>
      </c>
    </row>
    <row r="24" spans="3:4" ht="12.75">
      <c r="C24" s="3"/>
      <c r="D24" s="3"/>
    </row>
    <row r="25" spans="2:4" ht="12.75">
      <c r="B25" t="s">
        <v>272</v>
      </c>
      <c r="C25" s="3"/>
      <c r="D25" s="3"/>
    </row>
    <row r="26" ht="12.75">
      <c r="B26" t="s">
        <v>273</v>
      </c>
    </row>
    <row r="27" spans="2:5" ht="13.5" thickBot="1">
      <c r="B27" t="s">
        <v>65</v>
      </c>
      <c r="E27" t="s">
        <v>65</v>
      </c>
    </row>
    <row r="28" spans="2:3" ht="12.75">
      <c r="B28" s="126" t="s">
        <v>295</v>
      </c>
      <c r="C28" s="217">
        <f>I14*PP_flag</f>
        <v>400000</v>
      </c>
    </row>
    <row r="29" spans="1:3" ht="13.5" thickBot="1">
      <c r="A29" t="s">
        <v>65</v>
      </c>
      <c r="B29" s="127" t="s">
        <v>294</v>
      </c>
      <c r="C29" s="218">
        <f>((I13+I16+I18+I21)-I14)*PP_flag</f>
        <v>115000</v>
      </c>
    </row>
    <row r="31" spans="1:2" ht="12.75">
      <c r="A31" t="s">
        <v>65</v>
      </c>
      <c r="B31" t="s">
        <v>65</v>
      </c>
    </row>
    <row r="32" ht="12.75">
      <c r="B32" t="s">
        <v>65</v>
      </c>
    </row>
    <row r="33" ht="12.75">
      <c r="B33" t="s">
        <v>65</v>
      </c>
    </row>
    <row r="34" ht="12.75">
      <c r="B34" t="s">
        <v>65</v>
      </c>
    </row>
  </sheetData>
  <sheetProtection sheet="1" objects="1" scenarios="1"/>
  <protectedRanges>
    <protectedRange sqref="C7:C8" name="OOS Sheet"/>
  </protectedRanges>
  <mergeCells count="1">
    <mergeCell ref="B3:I3"/>
  </mergeCells>
  <printOptions/>
  <pageMargins left="0.75" right="0.75" top="1" bottom="1" header="0.5" footer="0.5"/>
  <pageSetup horizontalDpi="300" verticalDpi="300" orientation="portrait" r:id="rId3"/>
  <drawing r:id="rId2"/>
  <legacyDrawing r:id="rId1"/>
</worksheet>
</file>

<file path=xl/worksheets/sheet12.xml><?xml version="1.0" encoding="utf-8"?>
<worksheet xmlns="http://schemas.openxmlformats.org/spreadsheetml/2006/main" xmlns:r="http://schemas.openxmlformats.org/officeDocument/2006/relationships">
  <sheetPr codeName="Sheet11"/>
  <dimension ref="A2:I29"/>
  <sheetViews>
    <sheetView workbookViewId="0" topLeftCell="A1">
      <selection activeCell="E10" sqref="E10"/>
    </sheetView>
  </sheetViews>
  <sheetFormatPr defaultColWidth="9.140625" defaultRowHeight="12.75" outlineLevelRow="1"/>
  <cols>
    <col min="1" max="1" width="7.140625" style="0" customWidth="1"/>
    <col min="2" max="2" width="58.140625" style="0" customWidth="1"/>
    <col min="3" max="3" width="14.8515625" style="0" customWidth="1"/>
    <col min="4" max="4" width="12.28125" style="0" customWidth="1"/>
    <col min="5" max="5" width="13.00390625" style="41" customWidth="1"/>
    <col min="6" max="6" width="4.28125" style="41" customWidth="1"/>
    <col min="7" max="7" width="13.00390625" style="41" customWidth="1"/>
    <col min="8" max="8" width="12.140625" style="21" customWidth="1"/>
    <col min="9" max="9" width="15.421875" style="21" customWidth="1"/>
    <col min="10" max="10" width="4.00390625" style="41" customWidth="1"/>
    <col min="11" max="11" width="11.7109375" style="0" customWidth="1"/>
    <col min="12" max="12" width="12.421875" style="0" customWidth="1"/>
  </cols>
  <sheetData>
    <row r="2" spans="2:3" ht="12.75">
      <c r="B2" s="13" t="s">
        <v>177</v>
      </c>
      <c r="C2" s="205">
        <f>IF('Preliminary Information'!D23,1,0)</f>
        <v>1</v>
      </c>
    </row>
    <row r="3" spans="2:9" ht="64.5" customHeight="1">
      <c r="B3" s="382" t="s">
        <v>3</v>
      </c>
      <c r="C3" s="382"/>
      <c r="D3" s="382"/>
      <c r="E3" s="382"/>
      <c r="F3" s="382"/>
      <c r="G3" s="382"/>
      <c r="H3" s="382"/>
      <c r="I3" s="188"/>
    </row>
    <row r="5" ht="13.5" thickBot="1">
      <c r="B5" s="11" t="s">
        <v>75</v>
      </c>
    </row>
    <row r="6" spans="2:3" ht="12.75">
      <c r="B6" s="19" t="s">
        <v>178</v>
      </c>
      <c r="C6" s="341">
        <v>50000</v>
      </c>
    </row>
    <row r="7" spans="2:3" ht="12.75">
      <c r="B7" s="14" t="s">
        <v>4</v>
      </c>
      <c r="C7" s="210">
        <v>50000</v>
      </c>
    </row>
    <row r="8" spans="2:3" ht="12.75">
      <c r="B8" s="14" t="s">
        <v>394</v>
      </c>
      <c r="C8" s="103">
        <f>Summary!D11</f>
        <v>5856400000.000002</v>
      </c>
    </row>
    <row r="9" spans="2:3" ht="13.5" thickBot="1">
      <c r="B9" s="129" t="s">
        <v>46</v>
      </c>
      <c r="C9" s="342">
        <v>800</v>
      </c>
    </row>
    <row r="10" spans="2:3" ht="12.75">
      <c r="B10" s="98" t="s">
        <v>65</v>
      </c>
      <c r="C10" s="315" t="s">
        <v>65</v>
      </c>
    </row>
    <row r="11" spans="2:3" ht="12.75">
      <c r="B11" s="89"/>
      <c r="C11" s="90"/>
    </row>
    <row r="12" ht="12.75">
      <c r="C12" s="3"/>
    </row>
    <row r="13" spans="3:9" ht="12.75">
      <c r="C13" s="3"/>
      <c r="I13" s="78" t="s">
        <v>65</v>
      </c>
    </row>
    <row r="14" spans="3:9" ht="13.5" thickBot="1">
      <c r="C14" s="3" t="s">
        <v>65</v>
      </c>
      <c r="I14" s="78" t="s">
        <v>65</v>
      </c>
    </row>
    <row r="15" spans="2:9" ht="39.75" customHeight="1" thickBot="1">
      <c r="B15" s="85" t="s">
        <v>179</v>
      </c>
      <c r="C15" s="82" t="s">
        <v>173</v>
      </c>
      <c r="D15" s="80" t="s">
        <v>342</v>
      </c>
      <c r="E15" s="155" t="s">
        <v>170</v>
      </c>
      <c r="F15" s="150"/>
      <c r="G15" s="148" t="s">
        <v>35</v>
      </c>
      <c r="H15" s="75" t="s">
        <v>36</v>
      </c>
      <c r="I15" s="75" t="s">
        <v>43</v>
      </c>
    </row>
    <row r="16" spans="2:9" ht="12.75">
      <c r="B16" s="65" t="s">
        <v>44</v>
      </c>
      <c r="C16" s="83" t="s">
        <v>65</v>
      </c>
      <c r="D16" s="33"/>
      <c r="E16" s="156" t="s">
        <v>65</v>
      </c>
      <c r="F16" s="151"/>
      <c r="G16" s="49" t="s">
        <v>65</v>
      </c>
      <c r="H16" s="52" t="s">
        <v>65</v>
      </c>
      <c r="I16" s="52">
        <f>I17</f>
        <v>75000</v>
      </c>
    </row>
    <row r="17" spans="2:9" ht="12.75" outlineLevel="1">
      <c r="B17" s="86" t="s">
        <v>181</v>
      </c>
      <c r="C17" s="241">
        <v>10</v>
      </c>
      <c r="D17" s="240">
        <v>0.15</v>
      </c>
      <c r="E17" s="157">
        <f>C17*D17</f>
        <v>1.5</v>
      </c>
      <c r="F17" s="152"/>
      <c r="G17" s="64"/>
      <c r="H17" s="79" t="s">
        <v>65</v>
      </c>
      <c r="I17" s="79">
        <f>E17*C6</f>
        <v>75000</v>
      </c>
    </row>
    <row r="18" spans="2:9" ht="12.75">
      <c r="B18" s="65" t="s">
        <v>180</v>
      </c>
      <c r="C18" s="83" t="s">
        <v>65</v>
      </c>
      <c r="D18" s="33"/>
      <c r="E18" s="157" t="s">
        <v>65</v>
      </c>
      <c r="F18" s="153"/>
      <c r="G18" s="49" t="s">
        <v>65</v>
      </c>
      <c r="H18" s="52" t="str">
        <f>E18</f>
        <v> </v>
      </c>
      <c r="I18" s="52">
        <f>I19+I20</f>
        <v>209600</v>
      </c>
    </row>
    <row r="19" spans="2:9" ht="12.75" outlineLevel="1">
      <c r="B19" s="87" t="s">
        <v>45</v>
      </c>
      <c r="C19" s="241">
        <v>5</v>
      </c>
      <c r="D19" s="240">
        <v>0.2</v>
      </c>
      <c r="E19" s="157">
        <f>C19*D19</f>
        <v>1</v>
      </c>
      <c r="F19" s="153"/>
      <c r="G19" s="69" t="s">
        <v>65</v>
      </c>
      <c r="H19" s="79" t="s">
        <v>65</v>
      </c>
      <c r="I19" s="79">
        <f>E19*C9*12</f>
        <v>9600</v>
      </c>
    </row>
    <row r="20" spans="2:9" ht="12.75" outlineLevel="1">
      <c r="B20" s="87" t="s">
        <v>5</v>
      </c>
      <c r="C20" s="241">
        <v>20</v>
      </c>
      <c r="D20" s="240">
        <v>0.2</v>
      </c>
      <c r="E20" s="157">
        <f>C20*D20</f>
        <v>4</v>
      </c>
      <c r="F20" s="153"/>
      <c r="G20" s="69"/>
      <c r="H20" s="79"/>
      <c r="I20" s="79">
        <f>E20*C7</f>
        <v>200000</v>
      </c>
    </row>
    <row r="21" spans="2:9" ht="13.5" thickBot="1">
      <c r="B21" s="147" t="s">
        <v>176</v>
      </c>
      <c r="C21" s="84"/>
      <c r="D21" s="81"/>
      <c r="E21" s="35" t="s">
        <v>65</v>
      </c>
      <c r="F21" s="154"/>
      <c r="G21" s="39">
        <f>SUM(G16:G20)*VMI_flag</f>
        <v>0</v>
      </c>
      <c r="H21" s="70">
        <f>SUM(H16:H20)*VMI_flag</f>
        <v>0</v>
      </c>
      <c r="I21" s="70">
        <f>(I16+I18)*VMI_flag</f>
        <v>284600</v>
      </c>
    </row>
    <row r="22" ht="12.75">
      <c r="C22" s="3"/>
    </row>
    <row r="23" ht="12.75">
      <c r="B23" t="s">
        <v>65</v>
      </c>
    </row>
    <row r="24" ht="12.75">
      <c r="A24" t="s">
        <v>65</v>
      </c>
    </row>
    <row r="26" spans="1:2" ht="12.75">
      <c r="A26" t="s">
        <v>65</v>
      </c>
      <c r="B26" t="s">
        <v>65</v>
      </c>
    </row>
    <row r="27" ht="12.75">
      <c r="B27" t="s">
        <v>65</v>
      </c>
    </row>
    <row r="28" ht="12.75">
      <c r="B28" t="s">
        <v>65</v>
      </c>
    </row>
    <row r="29" ht="12.75">
      <c r="B29" t="s">
        <v>65</v>
      </c>
    </row>
  </sheetData>
  <sheetProtection sheet="1" objects="1" scenarios="1"/>
  <mergeCells count="1">
    <mergeCell ref="B3:H3"/>
  </mergeCells>
  <printOptions/>
  <pageMargins left="0.75" right="0.75" top="1" bottom="1" header="0.5" footer="0.5"/>
  <pageSetup horizontalDpi="300" verticalDpi="300" orientation="portrait" r:id="rId3"/>
  <drawing r:id="rId2"/>
  <legacyDrawing r:id="rId1"/>
</worksheet>
</file>

<file path=xl/worksheets/sheet13.xml><?xml version="1.0" encoding="utf-8"?>
<worksheet xmlns="http://schemas.openxmlformats.org/spreadsheetml/2006/main" xmlns:r="http://schemas.openxmlformats.org/officeDocument/2006/relationships">
  <sheetPr codeName="Sheet12"/>
  <dimension ref="B2:L58"/>
  <sheetViews>
    <sheetView workbookViewId="0" topLeftCell="A1">
      <selection activeCell="H9" sqref="H9"/>
    </sheetView>
  </sheetViews>
  <sheetFormatPr defaultColWidth="9.140625" defaultRowHeight="12.75" outlineLevelRow="1"/>
  <cols>
    <col min="1" max="1" width="3.7109375" style="0" customWidth="1"/>
    <col min="2" max="2" width="51.28125" style="0" customWidth="1"/>
    <col min="3" max="3" width="11.00390625" style="0" customWidth="1"/>
    <col min="4" max="4" width="13.57421875" style="0" customWidth="1"/>
    <col min="5" max="5" width="13.00390625" style="41" customWidth="1"/>
    <col min="6" max="6" width="9.57421875" style="21" customWidth="1"/>
    <col min="7" max="7" width="10.00390625" style="21" customWidth="1"/>
    <col min="8" max="8" width="10.28125" style="0" customWidth="1"/>
    <col min="9" max="9" width="9.28125" style="0" customWidth="1"/>
    <col min="10" max="10" width="4.00390625" style="5" customWidth="1"/>
    <col min="11" max="11" width="11.7109375" style="0" customWidth="1"/>
    <col min="12" max="12" width="12.421875" style="0" customWidth="1"/>
  </cols>
  <sheetData>
    <row r="2" spans="2:3" ht="12.75">
      <c r="B2" s="13" t="s">
        <v>182</v>
      </c>
      <c r="C2" s="205">
        <f>IF('Preliminary Information'!D24,1,0)</f>
        <v>1</v>
      </c>
    </row>
    <row r="3" spans="2:10" s="97" customFormat="1" ht="89.25" customHeight="1">
      <c r="B3" s="373" t="s">
        <v>243</v>
      </c>
      <c r="C3" s="374"/>
      <c r="D3" s="374"/>
      <c r="E3" s="374"/>
      <c r="F3" s="374"/>
      <c r="G3" s="374"/>
      <c r="H3" s="374"/>
      <c r="J3" s="138"/>
    </row>
    <row r="4" spans="2:7" s="99" customFormat="1" ht="12.75">
      <c r="B4" s="175" t="s">
        <v>65</v>
      </c>
      <c r="F4" s="139"/>
      <c r="G4" s="139"/>
    </row>
    <row r="5" spans="6:7" s="41" customFormat="1" ht="12.75">
      <c r="F5" s="78"/>
      <c r="G5" s="78"/>
    </row>
    <row r="6" ht="12.75">
      <c r="B6" s="11" t="s">
        <v>75</v>
      </c>
    </row>
    <row r="7" ht="13.5" thickBot="1">
      <c r="B7" s="12"/>
    </row>
    <row r="8" spans="2:5" ht="12.75">
      <c r="B8" s="19" t="s">
        <v>394</v>
      </c>
      <c r="C8" s="28" t="s">
        <v>65</v>
      </c>
      <c r="D8" s="383">
        <f>Summary!D11</f>
        <v>5856400000.000002</v>
      </c>
      <c r="E8" s="384"/>
    </row>
    <row r="9" spans="2:5" ht="12.75">
      <c r="B9" s="14" t="s">
        <v>231</v>
      </c>
      <c r="C9" s="355">
        <f>1-'OOS_Regular Sales'!C11</f>
        <v>0.4</v>
      </c>
      <c r="D9" s="377">
        <f>C9*D8</f>
        <v>2342560000.000001</v>
      </c>
      <c r="E9" s="379"/>
    </row>
    <row r="10" spans="2:5" ht="12.75">
      <c r="B10" s="62" t="s">
        <v>232</v>
      </c>
      <c r="C10" s="248">
        <v>0.05</v>
      </c>
      <c r="D10" s="17"/>
      <c r="E10" s="83"/>
    </row>
    <row r="11" spans="2:5" ht="13.5" thickBot="1">
      <c r="B11" s="18" t="s">
        <v>215</v>
      </c>
      <c r="C11" s="250">
        <v>0.7</v>
      </c>
      <c r="D11" s="385"/>
      <c r="E11" s="386"/>
    </row>
    <row r="12" spans="2:5" ht="12.75">
      <c r="B12" s="89" t="s">
        <v>65</v>
      </c>
      <c r="C12" s="101" t="s">
        <v>65</v>
      </c>
      <c r="D12" s="59"/>
      <c r="E12" s="60"/>
    </row>
    <row r="13" ht="12.75">
      <c r="C13" s="3"/>
    </row>
    <row r="14" ht="12.75">
      <c r="C14" s="3"/>
    </row>
    <row r="15" spans="3:7" ht="12.75">
      <c r="C15" s="3"/>
      <c r="G15" s="21" t="s">
        <v>65</v>
      </c>
    </row>
    <row r="16" spans="3:7" ht="13.5" thickBot="1">
      <c r="C16" s="3"/>
      <c r="G16" s="21" t="s">
        <v>65</v>
      </c>
    </row>
    <row r="17" spans="2:12" ht="51.75" thickBot="1">
      <c r="B17" s="48" t="s">
        <v>226</v>
      </c>
      <c r="C17" s="362" t="s">
        <v>83</v>
      </c>
      <c r="D17" s="363"/>
      <c r="E17" s="46" t="s">
        <v>341</v>
      </c>
      <c r="F17" s="364" t="s">
        <v>86</v>
      </c>
      <c r="G17" s="365"/>
      <c r="H17" s="366" t="s">
        <v>87</v>
      </c>
      <c r="I17" s="367"/>
      <c r="K17" s="47" t="s">
        <v>35</v>
      </c>
      <c r="L17" s="43" t="s">
        <v>36</v>
      </c>
    </row>
    <row r="18" spans="2:12" ht="12.75">
      <c r="B18" s="143" t="s">
        <v>227</v>
      </c>
      <c r="C18" s="143" t="s">
        <v>84</v>
      </c>
      <c r="D18" s="231">
        <v>0.25</v>
      </c>
      <c r="E18" s="44"/>
      <c r="F18" s="24"/>
      <c r="G18" s="22">
        <f>F19</f>
        <v>0.0125</v>
      </c>
      <c r="H18" s="24"/>
      <c r="I18" s="33">
        <f>H19</f>
        <v>0.010000000000000002</v>
      </c>
      <c r="K18" s="49">
        <f>K19</f>
        <v>4099479.999999999</v>
      </c>
      <c r="L18" s="49">
        <f>L19</f>
        <v>0</v>
      </c>
    </row>
    <row r="19" spans="2:12" ht="12.75" outlineLevel="1">
      <c r="B19" s="27" t="s">
        <v>228</v>
      </c>
      <c r="C19" s="40">
        <v>1</v>
      </c>
      <c r="D19" s="15" t="s">
        <v>65</v>
      </c>
      <c r="E19" s="236">
        <v>0.2</v>
      </c>
      <c r="F19" s="24">
        <f>C19*D18*C10</f>
        <v>0.0125</v>
      </c>
      <c r="G19" s="22" t="s">
        <v>65</v>
      </c>
      <c r="H19" s="45">
        <f>F19*(1-E19)</f>
        <v>0.010000000000000002</v>
      </c>
      <c r="I19" s="33"/>
      <c r="K19" s="69">
        <f>(F19-H19)*D9*$C$11</f>
        <v>4099479.999999999</v>
      </c>
      <c r="L19" s="31">
        <v>0</v>
      </c>
    </row>
    <row r="20" spans="2:12" ht="12.75">
      <c r="B20" s="143" t="s">
        <v>133</v>
      </c>
      <c r="C20" s="145" t="s">
        <v>84</v>
      </c>
      <c r="D20" s="231">
        <v>0.1</v>
      </c>
      <c r="E20" s="44"/>
      <c r="F20" s="24"/>
      <c r="G20" s="22">
        <f>SUM(F21:F22)</f>
        <v>0.005</v>
      </c>
      <c r="H20" s="45" t="s">
        <v>65</v>
      </c>
      <c r="I20" s="33">
        <f>SUM(H21:H22)</f>
        <v>0.0015000000000000005</v>
      </c>
      <c r="K20" s="49">
        <f>SUM(K21:K22)</f>
        <v>5739272.000000002</v>
      </c>
      <c r="L20" s="49">
        <f>L22</f>
        <v>0</v>
      </c>
    </row>
    <row r="21" spans="2:12" ht="12.75">
      <c r="B21" s="27" t="s">
        <v>229</v>
      </c>
      <c r="C21" s="232">
        <v>0.35</v>
      </c>
      <c r="D21" s="15"/>
      <c r="E21" s="236">
        <v>0.7</v>
      </c>
      <c r="F21" s="24">
        <f>C21*D20*$C$10</f>
        <v>0.0017499999999999998</v>
      </c>
      <c r="G21" s="22"/>
      <c r="H21" s="45">
        <f>F21*(1-E21)</f>
        <v>0.0005250000000000001</v>
      </c>
      <c r="I21" s="33"/>
      <c r="K21" s="69">
        <f>(F21-H21)*$D$9*$C$11</f>
        <v>2008745.2000000002</v>
      </c>
      <c r="L21" s="31"/>
    </row>
    <row r="22" spans="2:12" ht="12.75" outlineLevel="1">
      <c r="B22" s="27" t="s">
        <v>230</v>
      </c>
      <c r="C22" s="40">
        <f>1-C21</f>
        <v>0.65</v>
      </c>
      <c r="D22" s="15"/>
      <c r="E22" s="236">
        <v>0.7</v>
      </c>
      <c r="F22" s="24">
        <f>C22*D20*$C$10</f>
        <v>0.0032500000000000003</v>
      </c>
      <c r="G22" s="22" t="s">
        <v>65</v>
      </c>
      <c r="H22" s="45">
        <f>F22*(1-E22)</f>
        <v>0.0009750000000000003</v>
      </c>
      <c r="I22" s="15"/>
      <c r="K22" s="69">
        <f>(F22-H22)*$D$9*$C$11</f>
        <v>3730526.8000000017</v>
      </c>
      <c r="L22" s="31">
        <v>0</v>
      </c>
    </row>
    <row r="23" spans="2:12" ht="12.75">
      <c r="B23" s="143" t="s">
        <v>78</v>
      </c>
      <c r="C23" s="145">
        <v>0.1</v>
      </c>
      <c r="D23" s="231">
        <v>0.1</v>
      </c>
      <c r="E23" s="44"/>
      <c r="F23" s="24"/>
      <c r="G23" s="22">
        <f>SUM(F24:F28)</f>
        <v>0.005</v>
      </c>
      <c r="H23" s="45" t="s">
        <v>65</v>
      </c>
      <c r="I23" s="33">
        <f>SUM(H24:H28)</f>
        <v>0.0022</v>
      </c>
      <c r="K23" s="49">
        <f>SUM(K24:K28)</f>
        <v>2623667.200000001</v>
      </c>
      <c r="L23" s="49">
        <f>L24+L25+L26+L27+L28</f>
        <v>1967750.4000000008</v>
      </c>
    </row>
    <row r="24" spans="2:12" ht="12.75" outlineLevel="1">
      <c r="B24" s="27" t="s">
        <v>81</v>
      </c>
      <c r="C24" s="232">
        <v>0.1</v>
      </c>
      <c r="D24" s="15"/>
      <c r="E24" s="236">
        <v>0.1</v>
      </c>
      <c r="F24" s="24">
        <f>C24*$D$23*$C$10</f>
        <v>0.0005000000000000001</v>
      </c>
      <c r="G24" s="22" t="s">
        <v>65</v>
      </c>
      <c r="H24" s="45">
        <f>F24*(1-E24)</f>
        <v>0.0004500000000000001</v>
      </c>
      <c r="I24" s="33"/>
      <c r="K24" s="34">
        <f>(F24-H24)*$D$9*$C$11</f>
        <v>81989.60000000006</v>
      </c>
      <c r="L24" s="31">
        <v>0</v>
      </c>
    </row>
    <row r="25" spans="2:12" ht="12.75" outlineLevel="1">
      <c r="B25" s="27" t="s">
        <v>79</v>
      </c>
      <c r="C25" s="232">
        <v>0.1</v>
      </c>
      <c r="D25" s="15"/>
      <c r="E25" s="236">
        <v>0</v>
      </c>
      <c r="F25" s="24">
        <f>C25*$D$23*$C$10</f>
        <v>0.0005000000000000001</v>
      </c>
      <c r="G25" s="22" t="s">
        <v>65</v>
      </c>
      <c r="H25" s="45">
        <f>F25*(1-E25)</f>
        <v>0.0005000000000000001</v>
      </c>
      <c r="I25" s="33"/>
      <c r="K25" s="34">
        <f>(F25-H25)*$D$9*$C$11</f>
        <v>0</v>
      </c>
      <c r="L25" s="31">
        <v>0</v>
      </c>
    </row>
    <row r="26" spans="2:12" ht="12.75" outlineLevel="1">
      <c r="B26" s="27" t="s">
        <v>135</v>
      </c>
      <c r="C26" s="232">
        <v>0.3</v>
      </c>
      <c r="D26" s="15"/>
      <c r="E26" s="236">
        <v>0.5</v>
      </c>
      <c r="F26" s="24">
        <f>C26*$D$23*$C$10</f>
        <v>0.0015</v>
      </c>
      <c r="G26" s="22" t="s">
        <v>65</v>
      </c>
      <c r="H26" s="45">
        <f>F26*(1-E26)</f>
        <v>0.00075</v>
      </c>
      <c r="I26" s="33"/>
      <c r="K26" s="34">
        <f>(F26-H26)*$D$9*$C$11</f>
        <v>1229844.0000000005</v>
      </c>
      <c r="L26" s="31">
        <v>0</v>
      </c>
    </row>
    <row r="27" spans="2:12" ht="12.75" outlineLevel="1">
      <c r="B27" s="27" t="s">
        <v>214</v>
      </c>
      <c r="C27" s="232">
        <v>0.3</v>
      </c>
      <c r="D27" s="15"/>
      <c r="E27" s="236">
        <v>0.8</v>
      </c>
      <c r="F27" s="24">
        <f>C27*$D$23*$C$10</f>
        <v>0.0015</v>
      </c>
      <c r="G27" s="22" t="s">
        <v>65</v>
      </c>
      <c r="H27" s="45">
        <f>F27*(1-E27)</f>
        <v>0.0002999999999999999</v>
      </c>
      <c r="I27" s="33"/>
      <c r="K27" s="34">
        <v>0</v>
      </c>
      <c r="L27" s="31">
        <f>(F27-H27)*$D$9*$C$11</f>
        <v>1967750.4000000008</v>
      </c>
    </row>
    <row r="28" spans="2:12" ht="12.75" outlineLevel="1">
      <c r="B28" s="27" t="s">
        <v>131</v>
      </c>
      <c r="C28" s="26">
        <f>1-SUM(C24:C27)</f>
        <v>0.19999999999999996</v>
      </c>
      <c r="D28" s="15"/>
      <c r="E28" s="236">
        <v>0.8</v>
      </c>
      <c r="F28" s="24">
        <f>C28*$D$23*$C$10</f>
        <v>0.0009999999999999998</v>
      </c>
      <c r="G28" s="22" t="s">
        <v>65</v>
      </c>
      <c r="H28" s="45">
        <f>F28*(1-E28)</f>
        <v>0.00019999999999999993</v>
      </c>
      <c r="I28" s="33"/>
      <c r="K28" s="34">
        <f>(F28-H28)*$D$9*$C$11</f>
        <v>1311833.6000000003</v>
      </c>
      <c r="L28" s="31">
        <v>0</v>
      </c>
    </row>
    <row r="29" spans="2:12" ht="12.75">
      <c r="B29" s="143" t="s">
        <v>80</v>
      </c>
      <c r="C29" s="143" t="s">
        <v>84</v>
      </c>
      <c r="D29" s="231">
        <v>0.5</v>
      </c>
      <c r="E29" s="44"/>
      <c r="F29" s="24"/>
      <c r="G29" s="22">
        <f>SUM(F30:F32)</f>
        <v>0.025</v>
      </c>
      <c r="H29" s="45" t="s">
        <v>65</v>
      </c>
      <c r="I29" s="33">
        <f>H30+H31+H32</f>
        <v>0.015500000000000003</v>
      </c>
      <c r="K29" s="49">
        <f>K30+K31+K32</f>
        <v>15578024.000000007</v>
      </c>
      <c r="L29" s="49">
        <f>L30+L31+L32</f>
        <v>0</v>
      </c>
    </row>
    <row r="30" spans="2:12" ht="12.75" outlineLevel="1">
      <c r="B30" s="27" t="s">
        <v>136</v>
      </c>
      <c r="C30" s="232">
        <v>0.3</v>
      </c>
      <c r="D30" s="15"/>
      <c r="E30" s="236">
        <v>0.5</v>
      </c>
      <c r="F30" s="24">
        <f>C30*$D$29*$C$10</f>
        <v>0.0075</v>
      </c>
      <c r="G30" s="22" t="s">
        <v>65</v>
      </c>
      <c r="H30" s="45">
        <f>F30*(1-E30)</f>
        <v>0.00375</v>
      </c>
      <c r="I30" s="33"/>
      <c r="K30" s="34">
        <f>(F30-H30)*$D$9*$C$11</f>
        <v>6149220.000000002</v>
      </c>
      <c r="L30" s="31">
        <v>0</v>
      </c>
    </row>
    <row r="31" spans="2:12" ht="12.75" outlineLevel="1">
      <c r="B31" s="27" t="s">
        <v>137</v>
      </c>
      <c r="C31" s="232">
        <v>0.4</v>
      </c>
      <c r="D31" s="15"/>
      <c r="E31" s="236">
        <v>0.5</v>
      </c>
      <c r="F31" s="24">
        <f>C31*$D$29*$C$10</f>
        <v>0.010000000000000002</v>
      </c>
      <c r="G31" s="22" t="s">
        <v>65</v>
      </c>
      <c r="H31" s="45">
        <f>F31*(1-E31)</f>
        <v>0.005000000000000001</v>
      </c>
      <c r="I31" s="33"/>
      <c r="K31" s="34">
        <f>(F31-H31)*$D$9*$C$11</f>
        <v>8198960.000000005</v>
      </c>
      <c r="L31" s="31">
        <v>0</v>
      </c>
    </row>
    <row r="32" spans="2:12" ht="12.75" outlineLevel="1">
      <c r="B32" s="27" t="s">
        <v>82</v>
      </c>
      <c r="C32" s="26">
        <f>1-(C30+C31)</f>
        <v>0.30000000000000004</v>
      </c>
      <c r="D32" s="15"/>
      <c r="E32" s="236">
        <v>0.1</v>
      </c>
      <c r="F32" s="24">
        <f>C32*$D$29*$C$10</f>
        <v>0.0075000000000000015</v>
      </c>
      <c r="G32" s="22" t="s">
        <v>65</v>
      </c>
      <c r="H32" s="45">
        <f>F32*(1-E32)</f>
        <v>0.006750000000000002</v>
      </c>
      <c r="I32" s="33"/>
      <c r="K32" s="34">
        <f>(F32-H32)*$D$9*$C$11</f>
        <v>1229844</v>
      </c>
      <c r="L32" s="31">
        <v>0</v>
      </c>
    </row>
    <row r="33" spans="2:12" ht="12.75" outlineLevel="1">
      <c r="B33" s="65" t="s">
        <v>103</v>
      </c>
      <c r="C33" s="143" t="s">
        <v>84</v>
      </c>
      <c r="D33" s="16">
        <f>1-D20-D18-D23-D29</f>
        <v>0.050000000000000044</v>
      </c>
      <c r="E33" s="236">
        <v>0.15</v>
      </c>
      <c r="F33" s="24">
        <f>D33*$C$10</f>
        <v>0.0025000000000000022</v>
      </c>
      <c r="G33" s="22">
        <f>F33</f>
        <v>0.0025000000000000022</v>
      </c>
      <c r="H33" s="45">
        <f>F33*(1-E33)</f>
        <v>0.002125000000000002</v>
      </c>
      <c r="I33" s="33">
        <f>H33</f>
        <v>0.002125000000000002</v>
      </c>
      <c r="K33" s="49">
        <f>(F33-H33)*$D$9*$C$11</f>
        <v>614922.0000000008</v>
      </c>
      <c r="L33" s="31">
        <v>0</v>
      </c>
    </row>
    <row r="34" spans="2:12" ht="13.5" thickBot="1">
      <c r="B34" s="18"/>
      <c r="C34" s="36" t="s">
        <v>85</v>
      </c>
      <c r="D34" s="37">
        <f>D18+D20+D23+D29+D33</f>
        <v>1</v>
      </c>
      <c r="E34" s="42"/>
      <c r="F34" s="38">
        <f>SUM(F18:F33)</f>
        <v>0.05000000000000001</v>
      </c>
      <c r="G34" s="38">
        <f>SUM(G18:G33)</f>
        <v>0.05</v>
      </c>
      <c r="H34" s="38">
        <f>SUM(H18:H33)</f>
        <v>0.031325000000000006</v>
      </c>
      <c r="I34" s="38">
        <f>SUM(I18:I33)</f>
        <v>0.031325000000000006</v>
      </c>
      <c r="K34" s="39">
        <f>SUM(K18,K20,K23,K29,K33)*Promo_flag</f>
        <v>28655365.20000001</v>
      </c>
      <c r="L34" s="39">
        <f>SUM(L18,L20,L23,L29,L33)*Promo_flag</f>
        <v>1967750.4000000008</v>
      </c>
    </row>
    <row r="35" ht="12.75">
      <c r="D35" t="s">
        <v>65</v>
      </c>
    </row>
    <row r="37" spans="3:10" ht="12.75">
      <c r="C37" s="3"/>
      <c r="D37" s="3"/>
      <c r="E37"/>
      <c r="F37" s="41"/>
      <c r="G37" s="41"/>
      <c r="H37" s="21"/>
      <c r="I37" s="21"/>
      <c r="J37" s="41"/>
    </row>
    <row r="38" spans="3:10" ht="12.75">
      <c r="C38" s="3"/>
      <c r="D38" s="3"/>
      <c r="E38"/>
      <c r="F38" s="41"/>
      <c r="G38" s="41"/>
      <c r="H38" s="21"/>
      <c r="I38" s="78" t="s">
        <v>65</v>
      </c>
      <c r="J38" s="41"/>
    </row>
    <row r="39" spans="3:10" ht="13.5" thickBot="1">
      <c r="C39" s="3" t="s">
        <v>65</v>
      </c>
      <c r="D39" s="3"/>
      <c r="E39"/>
      <c r="F39" s="41"/>
      <c r="G39" s="41"/>
      <c r="H39" s="21"/>
      <c r="I39" s="78" t="s">
        <v>65</v>
      </c>
      <c r="J39" s="41"/>
    </row>
    <row r="40" spans="2:10" ht="27" customHeight="1" thickBot="1">
      <c r="B40" s="85" t="s">
        <v>6</v>
      </c>
      <c r="C40" s="176" t="s">
        <v>173</v>
      </c>
      <c r="D40" s="166" t="s">
        <v>42</v>
      </c>
      <c r="E40" s="74" t="s">
        <v>170</v>
      </c>
      <c r="F40" s="41"/>
      <c r="G40" s="148" t="s">
        <v>35</v>
      </c>
      <c r="H40" s="75" t="s">
        <v>36</v>
      </c>
      <c r="I40" s="75" t="s">
        <v>43</v>
      </c>
      <c r="J40" s="41"/>
    </row>
    <row r="41" spans="2:10" ht="12.75">
      <c r="B41" s="65" t="s">
        <v>171</v>
      </c>
      <c r="C41" s="66" t="s">
        <v>65</v>
      </c>
      <c r="D41" s="33"/>
      <c r="E41" s="22" t="s">
        <v>65</v>
      </c>
      <c r="F41" s="41"/>
      <c r="G41" s="49">
        <f>G42</f>
        <v>0</v>
      </c>
      <c r="H41" s="61">
        <f>SUM(H42:H42)</f>
        <v>0</v>
      </c>
      <c r="I41" s="52">
        <f>I42</f>
        <v>3000</v>
      </c>
      <c r="J41" s="41"/>
    </row>
    <row r="42" spans="2:10" ht="12.75" outlineLevel="1">
      <c r="B42" s="87" t="s">
        <v>7</v>
      </c>
      <c r="C42" s="249">
        <v>10000</v>
      </c>
      <c r="D42" s="240">
        <v>0.3</v>
      </c>
      <c r="E42" s="32">
        <f>D42*C42</f>
        <v>3000</v>
      </c>
      <c r="F42" s="41"/>
      <c r="G42" s="149">
        <v>0</v>
      </c>
      <c r="H42" s="32">
        <v>0</v>
      </c>
      <c r="I42" s="79">
        <f>E42</f>
        <v>3000</v>
      </c>
      <c r="J42" s="41"/>
    </row>
    <row r="43" spans="2:10" ht="12.75" outlineLevel="1">
      <c r="B43" s="146" t="s">
        <v>172</v>
      </c>
      <c r="C43" s="64"/>
      <c r="D43" s="15"/>
      <c r="E43" s="32" t="s">
        <v>65</v>
      </c>
      <c r="F43" s="41"/>
      <c r="G43" s="49">
        <f>G44</f>
        <v>0</v>
      </c>
      <c r="H43" s="52">
        <f>H44</f>
        <v>0</v>
      </c>
      <c r="I43" s="52">
        <f>I44</f>
        <v>6000</v>
      </c>
      <c r="J43" s="41"/>
    </row>
    <row r="44" spans="2:10" ht="12.75">
      <c r="B44" s="77" t="s">
        <v>266</v>
      </c>
      <c r="C44" s="249">
        <v>20000</v>
      </c>
      <c r="D44" s="240">
        <v>0.3</v>
      </c>
      <c r="E44" s="32">
        <f>C44*D44</f>
        <v>6000</v>
      </c>
      <c r="F44" s="41"/>
      <c r="G44" s="149">
        <v>0</v>
      </c>
      <c r="H44" s="32">
        <v>0</v>
      </c>
      <c r="I44" s="32">
        <f>E44</f>
        <v>6000</v>
      </c>
      <c r="J44" s="41"/>
    </row>
    <row r="45" spans="2:10" ht="12.75" outlineLevel="1">
      <c r="B45" s="65" t="s">
        <v>8</v>
      </c>
      <c r="C45" s="64"/>
      <c r="D45" s="16"/>
      <c r="E45" s="32" t="s">
        <v>65</v>
      </c>
      <c r="F45" s="41"/>
      <c r="G45" s="49">
        <f>G46</f>
        <v>0</v>
      </c>
      <c r="H45" s="52">
        <f>H46</f>
        <v>0</v>
      </c>
      <c r="I45" s="52">
        <f>I46</f>
        <v>0.2</v>
      </c>
      <c r="J45" s="41"/>
    </row>
    <row r="46" spans="2:10" ht="12.75">
      <c r="B46" s="86" t="s">
        <v>175</v>
      </c>
      <c r="C46" s="234">
        <v>0.5</v>
      </c>
      <c r="D46" s="240">
        <v>0.4</v>
      </c>
      <c r="E46" s="32">
        <f>C46*D46</f>
        <v>0.2</v>
      </c>
      <c r="F46" s="41"/>
      <c r="G46" s="156"/>
      <c r="H46" s="15"/>
      <c r="I46" s="32">
        <f>E46</f>
        <v>0.2</v>
      </c>
      <c r="J46" s="41"/>
    </row>
    <row r="47" spans="2:10" ht="13.5" thickBot="1">
      <c r="B47" s="147" t="s">
        <v>176</v>
      </c>
      <c r="C47" s="109"/>
      <c r="D47" s="81"/>
      <c r="E47" s="70">
        <f>SUM(E41:E46)</f>
        <v>9000.2</v>
      </c>
      <c r="F47" s="41"/>
      <c r="G47" s="39">
        <f>(G41+G43+G45)*Promo_flag</f>
        <v>0</v>
      </c>
      <c r="H47" s="39">
        <f>(H41+H43+H45)*Promo_flag</f>
        <v>0</v>
      </c>
      <c r="I47" s="39">
        <f>(I41+I43+I45)*Promo_flag</f>
        <v>9000.2</v>
      </c>
      <c r="J47" s="41"/>
    </row>
    <row r="48" spans="3:10" ht="12.75">
      <c r="C48" s="3"/>
      <c r="D48" s="3"/>
      <c r="E48"/>
      <c r="F48" s="41"/>
      <c r="G48" s="41"/>
      <c r="H48" s="21"/>
      <c r="I48" s="21"/>
      <c r="J48" s="41"/>
    </row>
    <row r="49" ht="12.75">
      <c r="C49" s="3"/>
    </row>
    <row r="50" ht="12.75">
      <c r="C50" s="3"/>
    </row>
    <row r="51" ht="13.5" thickBot="1"/>
    <row r="52" spans="2:6" ht="39" thickBot="1">
      <c r="B52" s="85" t="s">
        <v>233</v>
      </c>
      <c r="C52" s="178" t="s">
        <v>343</v>
      </c>
      <c r="D52" s="148" t="s">
        <v>35</v>
      </c>
      <c r="E52" s="75" t="s">
        <v>36</v>
      </c>
      <c r="F52" s="75" t="s">
        <v>43</v>
      </c>
    </row>
    <row r="53" spans="2:6" ht="12.75">
      <c r="B53" s="65" t="s">
        <v>234</v>
      </c>
      <c r="C53" s="66" t="s">
        <v>65</v>
      </c>
      <c r="D53" s="49">
        <f>D54</f>
        <v>46851200.00000002</v>
      </c>
      <c r="E53" s="61">
        <f>SUM(E54:E54)</f>
        <v>0</v>
      </c>
      <c r="F53" s="52">
        <f>F54</f>
        <v>0</v>
      </c>
    </row>
    <row r="54" spans="2:6" ht="28.5" customHeight="1">
      <c r="B54" s="177" t="s">
        <v>235</v>
      </c>
      <c r="C54" s="234">
        <v>0.02</v>
      </c>
      <c r="D54" s="149">
        <f>C54*D9</f>
        <v>46851200.00000002</v>
      </c>
      <c r="E54" s="32">
        <v>0</v>
      </c>
      <c r="F54" s="79">
        <v>0</v>
      </c>
    </row>
    <row r="55" spans="2:6" ht="12.75">
      <c r="B55" s="65" t="s">
        <v>53</v>
      </c>
      <c r="C55" s="64"/>
      <c r="D55" s="49">
        <f>D56</f>
        <v>0</v>
      </c>
      <c r="E55" s="52">
        <f>E56</f>
        <v>0</v>
      </c>
      <c r="F55" s="52">
        <f>F56</f>
        <v>0</v>
      </c>
    </row>
    <row r="56" spans="2:6" ht="12.75">
      <c r="B56" s="86"/>
      <c r="C56" s="15"/>
      <c r="D56" s="195"/>
      <c r="E56" s="195"/>
      <c r="F56" s="195"/>
    </row>
    <row r="57" spans="2:6" ht="13.5" thickBot="1">
      <c r="B57" s="147" t="s">
        <v>176</v>
      </c>
      <c r="C57" s="109"/>
      <c r="D57" s="39">
        <f>(D53+D55+D56)*Promo_flag</f>
        <v>46851200.00000002</v>
      </c>
      <c r="E57" s="39">
        <f>(E53+E55+E56)*Promo_flag</f>
        <v>0</v>
      </c>
      <c r="F57" s="39">
        <f>(F53+F55+F56)*Promo_flag</f>
        <v>0</v>
      </c>
    </row>
    <row r="58" ht="12.75">
      <c r="C58" s="3"/>
    </row>
  </sheetData>
  <sheetProtection sheet="1" objects="1" scenarios="1"/>
  <protectedRanges>
    <protectedRange sqref="C12" name="OOS Sheet"/>
  </protectedRanges>
  <mergeCells count="7">
    <mergeCell ref="D9:E9"/>
    <mergeCell ref="B3:H3"/>
    <mergeCell ref="D8:E8"/>
    <mergeCell ref="F17:G17"/>
    <mergeCell ref="H17:I17"/>
    <mergeCell ref="C17:D17"/>
    <mergeCell ref="D11:E11"/>
  </mergeCells>
  <printOptions/>
  <pageMargins left="0.75" right="0.75" top="1" bottom="1" header="0.5" footer="0.5"/>
  <pageSetup horizontalDpi="300" verticalDpi="300" orientation="portrait" r:id="rId3"/>
  <drawing r:id="rId2"/>
  <legacyDrawing r:id="rId1"/>
</worksheet>
</file>

<file path=xl/worksheets/sheet14.xml><?xml version="1.0" encoding="utf-8"?>
<worksheet xmlns="http://schemas.openxmlformats.org/spreadsheetml/2006/main" xmlns:r="http://schemas.openxmlformats.org/officeDocument/2006/relationships">
  <sheetPr codeName="Sheet13"/>
  <dimension ref="A2:I44"/>
  <sheetViews>
    <sheetView workbookViewId="0" topLeftCell="A13">
      <selection activeCell="F30" sqref="F30"/>
    </sheetView>
  </sheetViews>
  <sheetFormatPr defaultColWidth="9.140625" defaultRowHeight="12.75"/>
  <cols>
    <col min="1" max="1" width="7.140625" style="0" customWidth="1"/>
    <col min="2" max="2" width="71.00390625" style="0" customWidth="1"/>
    <col min="3" max="3" width="14.421875" style="0" customWidth="1"/>
    <col min="4" max="4" width="12.28125" style="0" customWidth="1"/>
    <col min="5" max="6" width="13.00390625" style="41" customWidth="1"/>
    <col min="7" max="7" width="12.140625" style="21" customWidth="1"/>
    <col min="8" max="8" width="8.00390625" style="21" customWidth="1"/>
    <col min="9" max="9" width="4.00390625" style="41" customWidth="1"/>
    <col min="10" max="10" width="11.7109375" style="0" customWidth="1"/>
    <col min="11" max="11" width="12.421875" style="0" customWidth="1"/>
  </cols>
  <sheetData>
    <row r="2" spans="2:3" ht="12.75">
      <c r="B2" s="13" t="s">
        <v>185</v>
      </c>
      <c r="C2" s="205">
        <f>IF('Preliminary Information'!D25,1,0)</f>
        <v>1</v>
      </c>
    </row>
    <row r="3" spans="2:5" ht="27.75" customHeight="1">
      <c r="B3" s="382" t="s">
        <v>236</v>
      </c>
      <c r="C3" s="382"/>
      <c r="D3" s="382"/>
      <c r="E3" s="382"/>
    </row>
    <row r="5" ht="12.75">
      <c r="B5" s="11" t="s">
        <v>75</v>
      </c>
    </row>
    <row r="6" spans="2:3" ht="13.5" thickBot="1">
      <c r="B6" s="89" t="s">
        <v>65</v>
      </c>
      <c r="C6" s="90" t="s">
        <v>65</v>
      </c>
    </row>
    <row r="7" spans="2:3" ht="12.75">
      <c r="B7" s="115" t="s">
        <v>394</v>
      </c>
      <c r="C7" s="106">
        <f>Summary!D11</f>
        <v>5856400000.000002</v>
      </c>
    </row>
    <row r="8" spans="2:9" s="97" customFormat="1" ht="12.75">
      <c r="B8" s="64" t="s">
        <v>169</v>
      </c>
      <c r="C8" s="104">
        <f>Summary!D9</f>
        <v>0.15</v>
      </c>
      <c r="E8" s="99"/>
      <c r="F8" s="99"/>
      <c r="G8" s="100"/>
      <c r="H8" s="100"/>
      <c r="I8" s="99"/>
    </row>
    <row r="9" spans="2:9" s="94" customFormat="1" ht="13.5" thickBot="1">
      <c r="B9" s="116" t="s">
        <v>192</v>
      </c>
      <c r="C9" s="114">
        <f>Summary!D10*C7</f>
        <v>58564000.00000002</v>
      </c>
      <c r="E9" s="95"/>
      <c r="F9" s="95"/>
      <c r="G9" s="96"/>
      <c r="H9" s="96"/>
      <c r="I9" s="95"/>
    </row>
    <row r="10" spans="2:9" s="94" customFormat="1" ht="12.75">
      <c r="B10" s="89" t="s">
        <v>65</v>
      </c>
      <c r="C10" s="101" t="s">
        <v>65</v>
      </c>
      <c r="E10" s="95"/>
      <c r="F10" s="95"/>
      <c r="G10" s="96"/>
      <c r="H10" s="96"/>
      <c r="I10" s="95"/>
    </row>
    <row r="11" spans="2:9" s="94" customFormat="1" ht="13.5" thickBot="1">
      <c r="B11" s="98"/>
      <c r="C11" s="92"/>
      <c r="E11" s="95"/>
      <c r="F11" s="95"/>
      <c r="G11" s="96"/>
      <c r="H11" s="96"/>
      <c r="I11" s="95"/>
    </row>
    <row r="12" spans="2:9" s="94" customFormat="1" ht="12.75">
      <c r="B12" s="108" t="s">
        <v>193</v>
      </c>
      <c r="C12" s="106"/>
      <c r="E12" s="95"/>
      <c r="F12" s="95"/>
      <c r="G12" s="96"/>
      <c r="H12" s="96"/>
      <c r="I12" s="95"/>
    </row>
    <row r="13" spans="2:4" ht="12.75">
      <c r="B13" s="66" t="s">
        <v>47</v>
      </c>
      <c r="C13" s="242">
        <v>15</v>
      </c>
      <c r="D13" s="4" t="s">
        <v>183</v>
      </c>
    </row>
    <row r="14" spans="2:3" ht="12.75">
      <c r="B14" s="66" t="s">
        <v>48</v>
      </c>
      <c r="C14" s="243">
        <f>Ranges!F27</f>
        <v>50000</v>
      </c>
    </row>
    <row r="15" spans="2:3" ht="12.75">
      <c r="B15" s="66" t="s">
        <v>49</v>
      </c>
      <c r="C15" s="244">
        <v>25</v>
      </c>
    </row>
    <row r="16" spans="2:3" ht="12.75">
      <c r="B16" s="66" t="s">
        <v>196</v>
      </c>
      <c r="C16" s="243">
        <v>240</v>
      </c>
    </row>
    <row r="17" spans="2:3" ht="12.75">
      <c r="B17" s="66" t="s">
        <v>187</v>
      </c>
      <c r="C17" s="245">
        <v>0.9</v>
      </c>
    </row>
    <row r="18" spans="2:5" ht="12.75">
      <c r="B18" s="66" t="s">
        <v>184</v>
      </c>
      <c r="C18" s="105">
        <f>C13*C14</f>
        <v>750000</v>
      </c>
      <c r="D18" s="91">
        <f>C18/(60)/60</f>
        <v>208.33333333333334</v>
      </c>
      <c r="E18" s="41" t="s">
        <v>186</v>
      </c>
    </row>
    <row r="19" spans="2:3" ht="12.75">
      <c r="B19" s="66" t="s">
        <v>50</v>
      </c>
      <c r="C19" s="103">
        <f>C15*D18*C16</f>
        <v>1250000.0000000002</v>
      </c>
    </row>
    <row r="20" spans="2:4" ht="13.5" thickBot="1">
      <c r="B20" s="109" t="s">
        <v>51</v>
      </c>
      <c r="C20" s="113">
        <f>C19*C17</f>
        <v>1125000.0000000002</v>
      </c>
      <c r="D20" t="s">
        <v>52</v>
      </c>
    </row>
    <row r="21" spans="2:3" ht="13.5" thickBot="1">
      <c r="B21" s="89"/>
      <c r="C21" s="90"/>
    </row>
    <row r="22" spans="2:3" ht="12.75">
      <c r="B22" s="108" t="s">
        <v>339</v>
      </c>
      <c r="C22" s="102"/>
    </row>
    <row r="23" spans="2:4" ht="12.75">
      <c r="B23" s="66" t="s">
        <v>392</v>
      </c>
      <c r="C23" s="246">
        <f>Ranges!F28</f>
        <v>21</v>
      </c>
      <c r="D23" t="s">
        <v>188</v>
      </c>
    </row>
    <row r="24" spans="1:5" ht="12.75">
      <c r="A24" t="s">
        <v>65</v>
      </c>
      <c r="B24" s="66" t="s">
        <v>197</v>
      </c>
      <c r="C24" s="240">
        <f>Ranges!F29</f>
        <v>0.2</v>
      </c>
      <c r="D24">
        <f>C24*C23</f>
        <v>4.2</v>
      </c>
      <c r="E24" s="41" t="s">
        <v>188</v>
      </c>
    </row>
    <row r="25" spans="2:5" ht="12.75">
      <c r="B25" s="66" t="s">
        <v>189</v>
      </c>
      <c r="C25" s="240">
        <v>0.6</v>
      </c>
      <c r="D25">
        <f>D24*(1-C25)</f>
        <v>1.6800000000000002</v>
      </c>
      <c r="E25" s="41" t="s">
        <v>188</v>
      </c>
    </row>
    <row r="26" spans="1:4" ht="12.75">
      <c r="A26" t="s">
        <v>65</v>
      </c>
      <c r="B26" s="66" t="s">
        <v>198</v>
      </c>
      <c r="C26" s="107">
        <f>D24-D25</f>
        <v>2.52</v>
      </c>
      <c r="D26" t="s">
        <v>188</v>
      </c>
    </row>
    <row r="27" spans="2:3" ht="12.75">
      <c r="B27" s="66" t="s">
        <v>190</v>
      </c>
      <c r="C27" s="22">
        <f>C26/C23</f>
        <v>0.12</v>
      </c>
    </row>
    <row r="28" spans="2:4" ht="12.75">
      <c r="B28" s="66" t="s">
        <v>194</v>
      </c>
      <c r="C28" s="107">
        <f>C23-(D24-D25)</f>
        <v>18.48</v>
      </c>
      <c r="D28" t="s">
        <v>188</v>
      </c>
    </row>
    <row r="29" spans="2:3" ht="12.75">
      <c r="B29" s="66" t="s">
        <v>400</v>
      </c>
      <c r="C29" s="22">
        <f>1-SQRT(1-C27)</f>
        <v>0.061916848035314054</v>
      </c>
    </row>
    <row r="30" spans="2:4" ht="12.75">
      <c r="B30" s="66" t="s">
        <v>401</v>
      </c>
      <c r="C30" s="111">
        <f>C29*C9*C8*'Preliminary Information'!D12</f>
        <v>54391.474325102</v>
      </c>
      <c r="D30" t="s">
        <v>52</v>
      </c>
    </row>
    <row r="31" spans="2:4" ht="13.5" thickBot="1">
      <c r="B31" s="109" t="s">
        <v>65</v>
      </c>
      <c r="C31" s="112" t="s">
        <v>65</v>
      </c>
      <c r="D31" t="s">
        <v>65</v>
      </c>
    </row>
    <row r="32" ht="13.5" thickBot="1">
      <c r="C32" s="93"/>
    </row>
    <row r="33" spans="2:3" ht="12.75">
      <c r="B33" s="108" t="s">
        <v>53</v>
      </c>
      <c r="C33" s="102"/>
    </row>
    <row r="34" spans="2:4" ht="12.75">
      <c r="B34" s="66" t="s">
        <v>281</v>
      </c>
      <c r="C34" s="244">
        <v>5000</v>
      </c>
      <c r="D34" t="s">
        <v>56</v>
      </c>
    </row>
    <row r="35" spans="2:3" ht="12.75">
      <c r="B35" s="66" t="s">
        <v>282</v>
      </c>
      <c r="C35" s="244">
        <v>10000</v>
      </c>
    </row>
    <row r="36" spans="2:4" ht="12.75">
      <c r="B36" s="66" t="s">
        <v>55</v>
      </c>
      <c r="C36" s="240">
        <f>Ranges!F31</f>
        <v>0.001</v>
      </c>
      <c r="D36" t="s">
        <v>54</v>
      </c>
    </row>
    <row r="37" spans="2:5" ht="13.5" thickBot="1">
      <c r="B37" s="109" t="s">
        <v>284</v>
      </c>
      <c r="C37" s="203">
        <f>C36*C7</f>
        <v>5856400.000000002</v>
      </c>
      <c r="D37" s="4"/>
      <c r="E37"/>
    </row>
    <row r="38" ht="13.5" thickBot="1">
      <c r="C38" s="93"/>
    </row>
    <row r="39" spans="2:3" ht="12.75">
      <c r="B39" s="168" t="s">
        <v>280</v>
      </c>
      <c r="C39" s="169"/>
    </row>
    <row r="40" spans="2:3" ht="12.75">
      <c r="B40" s="170" t="s">
        <v>195</v>
      </c>
      <c r="C40" s="171">
        <f>C37*OpnEff_flag</f>
        <v>5856400.000000002</v>
      </c>
    </row>
    <row r="41" spans="2:3" ht="13.5" thickBot="1">
      <c r="B41" s="172" t="s">
        <v>43</v>
      </c>
      <c r="C41" s="173">
        <f>(C20+C30+C34+C35)*OpnEff_flag</f>
        <v>1194391.4743251023</v>
      </c>
    </row>
    <row r="42" ht="12.75">
      <c r="C42" s="93"/>
    </row>
    <row r="43" ht="12.75">
      <c r="C43" s="93"/>
    </row>
    <row r="44" ht="12.75">
      <c r="C44" s="93"/>
    </row>
  </sheetData>
  <sheetProtection sheet="1" objects="1" scenarios="1"/>
  <protectedRanges>
    <protectedRange sqref="C10" name="OOS Sheet"/>
  </protectedRanges>
  <mergeCells count="1">
    <mergeCell ref="B3:E3"/>
  </mergeCell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sheetPr codeName="Sheet14"/>
  <dimension ref="B2:H19"/>
  <sheetViews>
    <sheetView workbookViewId="0" topLeftCell="A1">
      <selection activeCell="C20" sqref="C20"/>
    </sheetView>
  </sheetViews>
  <sheetFormatPr defaultColWidth="9.140625" defaultRowHeight="12.75" outlineLevelRow="1"/>
  <cols>
    <col min="1" max="1" width="7.140625" style="0" customWidth="1"/>
    <col min="2" max="2" width="60.7109375" style="0" customWidth="1"/>
    <col min="3" max="3" width="13.140625" style="0" customWidth="1"/>
    <col min="4" max="4" width="12.7109375" style="0" customWidth="1"/>
    <col min="5" max="5" width="3.7109375" style="89" customWidth="1"/>
    <col min="6" max="6" width="11.140625" style="44" customWidth="1"/>
    <col min="7" max="7" width="13.7109375" style="44" customWidth="1"/>
    <col min="8" max="8" width="12.57421875" style="89" customWidth="1"/>
    <col min="9" max="9" width="8.140625" style="0" customWidth="1"/>
    <col min="10" max="10" width="4.00390625" style="41" customWidth="1"/>
    <col min="11" max="11" width="11.7109375" style="0" customWidth="1"/>
    <col min="12" max="12" width="12.421875" style="0" customWidth="1"/>
  </cols>
  <sheetData>
    <row r="2" spans="2:3" ht="12.75">
      <c r="B2" s="13" t="s">
        <v>206</v>
      </c>
      <c r="C2" s="205">
        <f>IF('Preliminary Information'!D26,1,0)</f>
        <v>1</v>
      </c>
    </row>
    <row r="3" ht="12.75">
      <c r="B3" s="73" t="s">
        <v>222</v>
      </c>
    </row>
    <row r="5" ht="12.75">
      <c r="B5" s="11" t="s">
        <v>75</v>
      </c>
    </row>
    <row r="6" ht="12.75">
      <c r="C6" s="3"/>
    </row>
    <row r="7" ht="12.75">
      <c r="C7" s="3"/>
    </row>
    <row r="8" ht="12.75">
      <c r="C8" s="3"/>
    </row>
    <row r="9" ht="12.75">
      <c r="C9" s="3"/>
    </row>
    <row r="10" ht="13.5" thickBot="1">
      <c r="C10" s="3"/>
    </row>
    <row r="11" spans="2:8" ht="53.25" customHeight="1" thickBot="1">
      <c r="B11" s="48" t="s">
        <v>207</v>
      </c>
      <c r="C11" s="158" t="s">
        <v>208</v>
      </c>
      <c r="D11" s="160" t="s">
        <v>341</v>
      </c>
      <c r="E11" s="163"/>
      <c r="F11" s="148" t="s">
        <v>35</v>
      </c>
      <c r="G11" s="75" t="s">
        <v>36</v>
      </c>
      <c r="H11" s="75" t="s">
        <v>43</v>
      </c>
    </row>
    <row r="12" spans="2:8" ht="12.75">
      <c r="B12" s="143" t="s">
        <v>237</v>
      </c>
      <c r="C12" s="159" t="s">
        <v>65</v>
      </c>
      <c r="D12" s="161"/>
      <c r="E12" s="163"/>
      <c r="F12" s="49" t="str">
        <f>F13</f>
        <v> </v>
      </c>
      <c r="G12" s="174"/>
      <c r="H12" s="52">
        <f>H13</f>
        <v>90000</v>
      </c>
    </row>
    <row r="13" spans="2:8" ht="12.75" customHeight="1" outlineLevel="1">
      <c r="B13" s="68" t="s">
        <v>57</v>
      </c>
      <c r="C13" s="247">
        <v>150000</v>
      </c>
      <c r="D13" s="235">
        <v>0.6</v>
      </c>
      <c r="E13" s="163"/>
      <c r="F13" s="69" t="s">
        <v>65</v>
      </c>
      <c r="G13" s="33"/>
      <c r="H13" s="31">
        <f>C13*D13</f>
        <v>90000</v>
      </c>
    </row>
    <row r="14" spans="2:8" ht="12.75">
      <c r="B14" s="144" t="s">
        <v>168</v>
      </c>
      <c r="C14" s="159" t="s">
        <v>65</v>
      </c>
      <c r="D14" s="161" t="s">
        <v>65</v>
      </c>
      <c r="E14" s="163"/>
      <c r="F14" s="49" t="s">
        <v>65</v>
      </c>
      <c r="G14" s="174"/>
      <c r="H14" s="52">
        <f>H15+H16</f>
        <v>8000</v>
      </c>
    </row>
    <row r="15" spans="2:8" s="41" customFormat="1" ht="12.75" outlineLevel="1">
      <c r="B15" s="71" t="s">
        <v>288</v>
      </c>
      <c r="C15" s="247">
        <v>20000</v>
      </c>
      <c r="D15" s="235">
        <v>0.4</v>
      </c>
      <c r="E15" s="5"/>
      <c r="F15" s="69"/>
      <c r="G15" s="83"/>
      <c r="H15" s="79">
        <f>C15*D15</f>
        <v>8000</v>
      </c>
    </row>
    <row r="16" spans="2:8" s="41" customFormat="1" ht="12.75" outlineLevel="1">
      <c r="B16" s="71" t="s">
        <v>58</v>
      </c>
      <c r="C16" s="247">
        <v>10000</v>
      </c>
      <c r="D16" s="235">
        <v>0</v>
      </c>
      <c r="E16" s="5"/>
      <c r="F16" s="69"/>
      <c r="G16" s="83"/>
      <c r="H16" s="79">
        <f>C16*D16</f>
        <v>0</v>
      </c>
    </row>
    <row r="17" spans="2:8" ht="13.5" thickBot="1">
      <c r="B17" s="36" t="s">
        <v>85</v>
      </c>
      <c r="C17" s="137">
        <f>C15+C13</f>
        <v>170000</v>
      </c>
      <c r="D17" s="162"/>
      <c r="E17" s="163"/>
      <c r="F17" s="39">
        <f>SUM(F13:F14)*TrackTrace_flag</f>
        <v>0</v>
      </c>
      <c r="G17" s="70">
        <f>(G12+G14)*TrackTrace_flag</f>
        <v>0</v>
      </c>
      <c r="H17" s="70">
        <f>SUM(H12,H14)*TrackTrace_flag</f>
        <v>98000</v>
      </c>
    </row>
    <row r="18" ht="12.75">
      <c r="D18" t="s">
        <v>65</v>
      </c>
    </row>
    <row r="19" ht="12.75">
      <c r="B19" t="s">
        <v>65</v>
      </c>
    </row>
  </sheetData>
  <sheetProtection sheet="1" objects="1" scenarios="1"/>
  <printOptions/>
  <pageMargins left="0.75" right="0.75" top="1" bottom="1" header="0.5" footer="0.5"/>
  <pageSetup orientation="portrait" r:id="rId3"/>
  <drawing r:id="rId2"/>
  <legacyDrawing r:id="rId1"/>
</worksheet>
</file>

<file path=xl/worksheets/sheet16.xml><?xml version="1.0" encoding="utf-8"?>
<worksheet xmlns="http://schemas.openxmlformats.org/spreadsheetml/2006/main" xmlns:r="http://schemas.openxmlformats.org/officeDocument/2006/relationships">
  <sheetPr codeName="Hoja1"/>
  <dimension ref="B1:M53"/>
  <sheetViews>
    <sheetView workbookViewId="0" topLeftCell="A28">
      <selection activeCell="F6" sqref="F6:F34"/>
    </sheetView>
  </sheetViews>
  <sheetFormatPr defaultColWidth="9.140625" defaultRowHeight="12.75"/>
  <cols>
    <col min="1" max="1" width="2.28125" style="0" customWidth="1"/>
    <col min="2" max="2" width="3.140625" style="0" customWidth="1"/>
    <col min="3" max="3" width="63.7109375" style="0" customWidth="1"/>
    <col min="4" max="4" width="10.8515625" style="0" customWidth="1"/>
    <col min="5" max="5" width="12.00390625" style="0" customWidth="1"/>
    <col min="6" max="6" width="11.28125" style="0" customWidth="1"/>
    <col min="7" max="8" width="12.00390625" style="0" customWidth="1"/>
    <col min="9" max="9" width="12.140625" style="0" customWidth="1"/>
    <col min="10" max="10" width="30.421875" style="0" customWidth="1"/>
  </cols>
  <sheetData>
    <row r="1" ht="12.75">
      <c r="C1" s="21">
        <f>'OOS_Regular Sales'!C13</f>
        <v>0.1</v>
      </c>
    </row>
    <row r="2" ht="12.75">
      <c r="C2" s="281" t="s">
        <v>335</v>
      </c>
    </row>
    <row r="3" ht="13.5" thickBot="1"/>
    <row r="4" spans="2:10" ht="29.25" customHeight="1" thickBot="1">
      <c r="B4" s="19"/>
      <c r="C4" s="273" t="s">
        <v>299</v>
      </c>
      <c r="D4" s="387" t="s">
        <v>300</v>
      </c>
      <c r="E4" s="388"/>
      <c r="F4" s="293"/>
      <c r="G4" s="389" t="s">
        <v>321</v>
      </c>
      <c r="H4" s="389"/>
      <c r="I4" s="390"/>
      <c r="J4" s="30" t="s">
        <v>315</v>
      </c>
    </row>
    <row r="5" spans="2:11" ht="13.5" thickBot="1">
      <c r="B5" s="18"/>
      <c r="C5" s="274" t="s">
        <v>65</v>
      </c>
      <c r="D5" s="275" t="s">
        <v>301</v>
      </c>
      <c r="E5" s="276" t="s">
        <v>302</v>
      </c>
      <c r="F5" s="292" t="s">
        <v>337</v>
      </c>
      <c r="G5" s="294" t="s">
        <v>301</v>
      </c>
      <c r="H5" s="295" t="s">
        <v>337</v>
      </c>
      <c r="I5" s="296" t="s">
        <v>302</v>
      </c>
      <c r="J5" s="23"/>
      <c r="K5" t="s">
        <v>84</v>
      </c>
    </row>
    <row r="6" spans="2:13" ht="12.75">
      <c r="B6" s="20">
        <v>1</v>
      </c>
      <c r="C6" s="270" t="s">
        <v>129</v>
      </c>
      <c r="D6" s="282">
        <v>0</v>
      </c>
      <c r="E6" s="16">
        <v>0.02</v>
      </c>
      <c r="F6" s="312">
        <f>0.01</f>
        <v>0.01</v>
      </c>
      <c r="G6" s="297"/>
      <c r="H6" s="298"/>
      <c r="I6" s="299"/>
      <c r="J6" s="22" t="s">
        <v>303</v>
      </c>
      <c r="K6" t="s">
        <v>84</v>
      </c>
      <c r="M6" s="312"/>
    </row>
    <row r="7" spans="2:13" ht="12.75">
      <c r="B7" s="64">
        <v>2</v>
      </c>
      <c r="C7" s="270" t="s">
        <v>279</v>
      </c>
      <c r="D7" s="282">
        <v>0.1</v>
      </c>
      <c r="E7" s="16">
        <v>0.2</v>
      </c>
      <c r="F7" s="288">
        <f>0.15</f>
        <v>0.15</v>
      </c>
      <c r="G7" s="297"/>
      <c r="H7" s="298"/>
      <c r="I7" s="299"/>
      <c r="J7" s="269" t="s">
        <v>304</v>
      </c>
      <c r="K7" t="s">
        <v>84</v>
      </c>
      <c r="M7" s="288"/>
    </row>
    <row r="8" spans="2:13" ht="12.75">
      <c r="B8" s="64">
        <v>3</v>
      </c>
      <c r="C8" s="270" t="s">
        <v>307</v>
      </c>
      <c r="D8" s="282">
        <v>0.02</v>
      </c>
      <c r="E8" s="16">
        <v>0.06</v>
      </c>
      <c r="F8" s="288">
        <v>0.04</v>
      </c>
      <c r="G8" s="297"/>
      <c r="H8" s="298"/>
      <c r="I8" s="299"/>
      <c r="J8" s="269" t="s">
        <v>305</v>
      </c>
      <c r="K8" t="s">
        <v>84</v>
      </c>
      <c r="M8" s="288"/>
    </row>
    <row r="9" spans="2:13" ht="12.75">
      <c r="B9" s="64">
        <v>4</v>
      </c>
      <c r="C9" s="270" t="s">
        <v>215</v>
      </c>
      <c r="D9" s="282">
        <v>0.5</v>
      </c>
      <c r="E9" s="16">
        <v>0.9</v>
      </c>
      <c r="F9" s="288">
        <v>0.7</v>
      </c>
      <c r="G9" s="297"/>
      <c r="H9" s="298"/>
      <c r="I9" s="299"/>
      <c r="J9" s="269" t="s">
        <v>306</v>
      </c>
      <c r="K9" t="s">
        <v>84</v>
      </c>
      <c r="M9" s="288"/>
    </row>
    <row r="10" spans="2:13" ht="12.75">
      <c r="B10" s="64">
        <v>5</v>
      </c>
      <c r="C10" s="277" t="s">
        <v>278</v>
      </c>
      <c r="D10" s="285">
        <v>25000</v>
      </c>
      <c r="E10" s="31">
        <v>75000</v>
      </c>
      <c r="F10" s="289">
        <v>50000</v>
      </c>
      <c r="G10" s="297"/>
      <c r="H10" s="298"/>
      <c r="I10" s="299"/>
      <c r="J10" s="269" t="s">
        <v>310</v>
      </c>
      <c r="K10" t="s">
        <v>338</v>
      </c>
      <c r="M10" s="289"/>
    </row>
    <row r="11" spans="2:13" ht="12.75">
      <c r="B11" s="64">
        <v>6</v>
      </c>
      <c r="C11" s="277" t="s">
        <v>285</v>
      </c>
      <c r="D11" s="285">
        <v>50000</v>
      </c>
      <c r="E11" s="31">
        <v>150000</v>
      </c>
      <c r="F11" s="289">
        <v>100000</v>
      </c>
      <c r="G11" s="297"/>
      <c r="H11" s="298"/>
      <c r="I11" s="299"/>
      <c r="J11" s="269" t="s">
        <v>311</v>
      </c>
      <c r="K11" t="s">
        <v>338</v>
      </c>
      <c r="M11" s="289"/>
    </row>
    <row r="12" spans="2:13" ht="12.75">
      <c r="B12" s="64">
        <v>7</v>
      </c>
      <c r="C12" s="270" t="s">
        <v>155</v>
      </c>
      <c r="D12" s="313">
        <v>0.005</v>
      </c>
      <c r="E12" s="311">
        <v>0.015</v>
      </c>
      <c r="F12" s="288">
        <v>0.01</v>
      </c>
      <c r="G12" s="297"/>
      <c r="H12" s="298"/>
      <c r="I12" s="299"/>
      <c r="J12" s="15" t="s">
        <v>308</v>
      </c>
      <c r="K12" t="s">
        <v>84</v>
      </c>
      <c r="M12" s="288"/>
    </row>
    <row r="13" spans="2:13" ht="12.75">
      <c r="B13" s="64">
        <v>8</v>
      </c>
      <c r="C13" s="278" t="s">
        <v>241</v>
      </c>
      <c r="D13" s="285">
        <v>10000</v>
      </c>
      <c r="E13" s="31">
        <v>30000</v>
      </c>
      <c r="F13" s="289">
        <v>20000</v>
      </c>
      <c r="G13" s="297"/>
      <c r="H13" s="298"/>
      <c r="I13" s="299"/>
      <c r="J13" s="15" t="s">
        <v>309</v>
      </c>
      <c r="K13" t="s">
        <v>338</v>
      </c>
      <c r="M13" s="289"/>
    </row>
    <row r="14" spans="2:13" ht="12.75">
      <c r="B14" s="64">
        <v>9</v>
      </c>
      <c r="C14" s="270" t="s">
        <v>219</v>
      </c>
      <c r="D14" s="282">
        <v>0.01</v>
      </c>
      <c r="E14" s="16">
        <v>0.02</v>
      </c>
      <c r="F14" s="305">
        <v>0.015</v>
      </c>
      <c r="G14" s="297"/>
      <c r="H14" s="298"/>
      <c r="I14" s="299"/>
      <c r="J14" s="15" t="s">
        <v>312</v>
      </c>
      <c r="K14" t="s">
        <v>84</v>
      </c>
      <c r="M14" s="305"/>
    </row>
    <row r="15" spans="2:13" ht="12.75">
      <c r="B15" s="64">
        <v>10</v>
      </c>
      <c r="C15" s="278" t="s">
        <v>220</v>
      </c>
      <c r="D15" s="282">
        <v>0.1</v>
      </c>
      <c r="E15" s="16">
        <v>0.4</v>
      </c>
      <c r="F15" s="288">
        <v>0.25</v>
      </c>
      <c r="G15" s="297"/>
      <c r="H15" s="298"/>
      <c r="I15" s="299"/>
      <c r="J15" s="15" t="s">
        <v>313</v>
      </c>
      <c r="K15" t="s">
        <v>84</v>
      </c>
      <c r="M15" s="288"/>
    </row>
    <row r="16" spans="2:13" ht="12.75">
      <c r="B16" s="64">
        <v>11</v>
      </c>
      <c r="C16" s="270" t="s">
        <v>149</v>
      </c>
      <c r="D16" s="313">
        <v>0.003</v>
      </c>
      <c r="E16" s="311">
        <v>0.007</v>
      </c>
      <c r="F16" s="305">
        <v>0.005</v>
      </c>
      <c r="G16" s="297"/>
      <c r="H16" s="298"/>
      <c r="I16" s="299"/>
      <c r="J16" s="15" t="s">
        <v>314</v>
      </c>
      <c r="K16" t="s">
        <v>84</v>
      </c>
      <c r="M16" s="305"/>
    </row>
    <row r="17" spans="2:13" ht="12.75">
      <c r="B17" s="64">
        <v>12</v>
      </c>
      <c r="C17" s="270" t="s">
        <v>30</v>
      </c>
      <c r="D17" s="282">
        <v>0.01</v>
      </c>
      <c r="E17" s="16">
        <v>0.03</v>
      </c>
      <c r="F17" s="288">
        <v>0.02</v>
      </c>
      <c r="G17" s="297"/>
      <c r="H17" s="298"/>
      <c r="I17" s="299"/>
      <c r="J17" s="15" t="s">
        <v>316</v>
      </c>
      <c r="K17" t="s">
        <v>84</v>
      </c>
      <c r="M17" s="288"/>
    </row>
    <row r="18" spans="2:13" ht="25.5">
      <c r="B18" s="64">
        <v>13</v>
      </c>
      <c r="C18" s="279" t="s">
        <v>12</v>
      </c>
      <c r="D18" s="285">
        <v>50000</v>
      </c>
      <c r="E18" s="31">
        <v>150000</v>
      </c>
      <c r="F18" s="289">
        <v>100000</v>
      </c>
      <c r="G18" s="297"/>
      <c r="H18" s="298"/>
      <c r="I18" s="299"/>
      <c r="J18" s="15" t="s">
        <v>317</v>
      </c>
      <c r="K18" t="s">
        <v>338</v>
      </c>
      <c r="M18" s="289"/>
    </row>
    <row r="19" spans="2:13" ht="25.5">
      <c r="B19" s="64">
        <v>14</v>
      </c>
      <c r="C19" s="279" t="s">
        <v>14</v>
      </c>
      <c r="D19" s="285">
        <v>25000</v>
      </c>
      <c r="E19" s="31">
        <v>75000</v>
      </c>
      <c r="F19" s="289">
        <v>50000</v>
      </c>
      <c r="G19" s="297"/>
      <c r="H19" s="298"/>
      <c r="I19" s="299"/>
      <c r="J19" s="15" t="s">
        <v>318</v>
      </c>
      <c r="K19" t="s">
        <v>338</v>
      </c>
      <c r="M19" s="289"/>
    </row>
    <row r="20" spans="2:13" ht="38.25">
      <c r="B20" s="64">
        <v>15</v>
      </c>
      <c r="C20" s="279" t="s">
        <v>15</v>
      </c>
      <c r="D20" s="285">
        <v>10000</v>
      </c>
      <c r="E20" s="31">
        <v>20000</v>
      </c>
      <c r="F20" s="289">
        <v>15000</v>
      </c>
      <c r="G20" s="297"/>
      <c r="H20" s="298"/>
      <c r="I20" s="299"/>
      <c r="J20" s="15" t="s">
        <v>319</v>
      </c>
      <c r="K20" t="s">
        <v>338</v>
      </c>
      <c r="M20" s="289"/>
    </row>
    <row r="21" spans="2:13" ht="12.75">
      <c r="B21" s="64">
        <v>16</v>
      </c>
      <c r="C21" s="270" t="s">
        <v>40</v>
      </c>
      <c r="D21" s="282">
        <v>0.01</v>
      </c>
      <c r="E21" s="16">
        <v>0.03</v>
      </c>
      <c r="F21" s="288">
        <v>0.02</v>
      </c>
      <c r="G21" s="297"/>
      <c r="H21" s="298"/>
      <c r="I21" s="299"/>
      <c r="J21" s="15" t="s">
        <v>320</v>
      </c>
      <c r="K21" t="s">
        <v>84</v>
      </c>
      <c r="M21" s="288"/>
    </row>
    <row r="22" spans="2:13" ht="12.75">
      <c r="B22" s="64">
        <v>17</v>
      </c>
      <c r="C22" s="270" t="s">
        <v>336</v>
      </c>
      <c r="D22" s="282">
        <v>0.03</v>
      </c>
      <c r="E22" s="16">
        <v>0.07</v>
      </c>
      <c r="F22" s="305">
        <v>0.05</v>
      </c>
      <c r="G22" s="297"/>
      <c r="H22" s="298"/>
      <c r="I22" s="299"/>
      <c r="J22" s="15" t="s">
        <v>322</v>
      </c>
      <c r="K22" t="s">
        <v>84</v>
      </c>
      <c r="M22" s="305"/>
    </row>
    <row r="23" spans="2:13" ht="12.75">
      <c r="B23" s="306">
        <v>18</v>
      </c>
      <c r="C23" s="303" t="s">
        <v>264</v>
      </c>
      <c r="D23" s="307"/>
      <c r="E23" s="308"/>
      <c r="F23" s="309"/>
      <c r="G23" s="297"/>
      <c r="H23" s="298"/>
      <c r="I23" s="299"/>
      <c r="J23" s="310" t="s">
        <v>323</v>
      </c>
      <c r="M23" s="314"/>
    </row>
    <row r="24" spans="2:13" ht="12.75">
      <c r="B24" s="64">
        <v>19</v>
      </c>
      <c r="C24" s="278" t="s">
        <v>265</v>
      </c>
      <c r="D24" s="24">
        <v>0.2</v>
      </c>
      <c r="E24" s="22">
        <v>0.6</v>
      </c>
      <c r="F24" s="288">
        <v>0.4</v>
      </c>
      <c r="G24" s="297"/>
      <c r="H24" s="298"/>
      <c r="I24" s="299"/>
      <c r="J24" s="269" t="s">
        <v>324</v>
      </c>
      <c r="K24" t="s">
        <v>84</v>
      </c>
      <c r="M24" s="288"/>
    </row>
    <row r="25" spans="2:13" ht="12.75">
      <c r="B25" s="64">
        <v>20</v>
      </c>
      <c r="C25" s="277" t="s">
        <v>266</v>
      </c>
      <c r="D25" s="24">
        <v>0.1</v>
      </c>
      <c r="E25" s="22">
        <v>0.3</v>
      </c>
      <c r="F25" s="288">
        <v>0.2</v>
      </c>
      <c r="G25" s="297"/>
      <c r="H25" s="298"/>
      <c r="I25" s="299"/>
      <c r="J25" s="269" t="s">
        <v>325</v>
      </c>
      <c r="K25" t="s">
        <v>84</v>
      </c>
      <c r="M25" s="288"/>
    </row>
    <row r="26" spans="2:13" ht="25.5">
      <c r="B26" s="64">
        <v>21</v>
      </c>
      <c r="C26" s="277" t="s">
        <v>174</v>
      </c>
      <c r="D26" s="24">
        <v>0.1</v>
      </c>
      <c r="E26" s="22">
        <v>0.3</v>
      </c>
      <c r="F26" s="288">
        <v>0.2</v>
      </c>
      <c r="G26" s="297"/>
      <c r="H26" s="298"/>
      <c r="I26" s="299"/>
      <c r="J26" s="269" t="s">
        <v>326</v>
      </c>
      <c r="K26" t="s">
        <v>84</v>
      </c>
      <c r="M26" s="288"/>
    </row>
    <row r="27" spans="2:13" ht="12.75">
      <c r="B27" s="64">
        <v>22</v>
      </c>
      <c r="C27" s="278" t="s">
        <v>48</v>
      </c>
      <c r="D27" s="286">
        <v>25000</v>
      </c>
      <c r="E27" s="287">
        <v>75000</v>
      </c>
      <c r="F27" s="290">
        <v>50000</v>
      </c>
      <c r="G27" s="297"/>
      <c r="H27" s="298"/>
      <c r="I27" s="299"/>
      <c r="J27" s="15" t="s">
        <v>327</v>
      </c>
      <c r="M27" s="290"/>
    </row>
    <row r="28" spans="2:13" ht="12.75">
      <c r="B28" s="64">
        <v>23</v>
      </c>
      <c r="C28" s="278" t="s">
        <v>283</v>
      </c>
      <c r="D28" s="286">
        <v>11</v>
      </c>
      <c r="E28" s="287">
        <v>31</v>
      </c>
      <c r="F28" s="290">
        <v>21</v>
      </c>
      <c r="G28" s="297"/>
      <c r="H28" s="298"/>
      <c r="I28" s="299"/>
      <c r="J28" s="15" t="s">
        <v>328</v>
      </c>
      <c r="M28" s="290"/>
    </row>
    <row r="29" spans="2:13" ht="12.75">
      <c r="B29" s="64">
        <v>24</v>
      </c>
      <c r="C29" s="278" t="s">
        <v>197</v>
      </c>
      <c r="D29" s="282">
        <v>0.1</v>
      </c>
      <c r="E29" s="16">
        <v>0.3</v>
      </c>
      <c r="F29" s="288">
        <v>0.2</v>
      </c>
      <c r="G29" s="297"/>
      <c r="H29" s="298"/>
      <c r="I29" s="299"/>
      <c r="J29" s="15" t="s">
        <v>329</v>
      </c>
      <c r="K29" t="s">
        <v>84</v>
      </c>
      <c r="M29" s="288"/>
    </row>
    <row r="30" spans="2:13" ht="12.75">
      <c r="B30" s="64">
        <v>25</v>
      </c>
      <c r="C30" s="303" t="s">
        <v>189</v>
      </c>
      <c r="D30" s="297"/>
      <c r="E30" s="299"/>
      <c r="F30" s="298"/>
      <c r="G30" s="297"/>
      <c r="H30" s="298"/>
      <c r="I30" s="299"/>
      <c r="J30" s="304" t="s">
        <v>330</v>
      </c>
      <c r="M30" s="312"/>
    </row>
    <row r="31" spans="2:13" ht="12.75">
      <c r="B31" s="64">
        <v>26</v>
      </c>
      <c r="C31" s="272" t="s">
        <v>55</v>
      </c>
      <c r="D31" s="282">
        <v>0</v>
      </c>
      <c r="E31" s="311">
        <v>0.002</v>
      </c>
      <c r="F31" s="305">
        <v>0.001</v>
      </c>
      <c r="G31" s="297"/>
      <c r="H31" s="298"/>
      <c r="I31" s="299"/>
      <c r="J31" s="15" t="s">
        <v>331</v>
      </c>
      <c r="K31" t="s">
        <v>84</v>
      </c>
      <c r="M31" s="305"/>
    </row>
    <row r="32" spans="2:13" ht="12.75">
      <c r="B32" s="64">
        <v>27</v>
      </c>
      <c r="C32" s="271" t="s">
        <v>231</v>
      </c>
      <c r="D32" s="282">
        <v>0.1</v>
      </c>
      <c r="E32" s="16">
        <v>0.5</v>
      </c>
      <c r="F32" s="288">
        <v>0.3</v>
      </c>
      <c r="G32" s="297"/>
      <c r="H32" s="298"/>
      <c r="I32" s="299"/>
      <c r="J32" s="15" t="s">
        <v>332</v>
      </c>
      <c r="K32" t="s">
        <v>84</v>
      </c>
      <c r="M32" s="288"/>
    </row>
    <row r="33" spans="2:13" ht="12.75">
      <c r="B33" s="64">
        <v>28</v>
      </c>
      <c r="C33" s="272" t="s">
        <v>232</v>
      </c>
      <c r="D33" s="282">
        <v>0.05</v>
      </c>
      <c r="E33" s="16">
        <v>0.15</v>
      </c>
      <c r="F33" s="288">
        <v>0.1</v>
      </c>
      <c r="G33" s="297"/>
      <c r="H33" s="298"/>
      <c r="I33" s="299"/>
      <c r="J33" s="269" t="s">
        <v>333</v>
      </c>
      <c r="K33" t="s">
        <v>84</v>
      </c>
      <c r="M33" s="288"/>
    </row>
    <row r="34" spans="2:13" ht="12.75">
      <c r="B34" s="64">
        <v>29</v>
      </c>
      <c r="C34" s="271" t="s">
        <v>215</v>
      </c>
      <c r="D34" s="282">
        <v>0.6</v>
      </c>
      <c r="E34" s="16">
        <v>1</v>
      </c>
      <c r="F34" s="288">
        <v>0.8</v>
      </c>
      <c r="G34" s="297"/>
      <c r="H34" s="298"/>
      <c r="I34" s="299"/>
      <c r="J34" s="269" t="s">
        <v>334</v>
      </c>
      <c r="K34" t="s">
        <v>84</v>
      </c>
      <c r="M34" s="288"/>
    </row>
    <row r="35" spans="2:13" ht="13.5" thickBot="1">
      <c r="B35" s="110" t="s">
        <v>65</v>
      </c>
      <c r="C35" s="280" t="s">
        <v>65</v>
      </c>
      <c r="D35" s="283"/>
      <c r="E35" s="284"/>
      <c r="F35" s="291"/>
      <c r="G35" s="300"/>
      <c r="H35" s="301"/>
      <c r="I35" s="302"/>
      <c r="J35" s="23" t="s">
        <v>65</v>
      </c>
      <c r="M35" s="312"/>
    </row>
    <row r="37" ht="13.5" thickBot="1"/>
    <row r="38" spans="3:4" ht="26.25" thickBot="1">
      <c r="C38" s="318" t="s">
        <v>345</v>
      </c>
      <c r="D38" s="316" t="s">
        <v>344</v>
      </c>
    </row>
    <row r="39" spans="3:4" ht="12.75">
      <c r="C39" s="20"/>
      <c r="D39" s="30"/>
    </row>
    <row r="40" spans="3:4" ht="12.75">
      <c r="C40" s="64" t="s">
        <v>347</v>
      </c>
      <c r="D40" s="22">
        <v>1</v>
      </c>
    </row>
    <row r="41" spans="3:4" ht="12.75">
      <c r="C41" s="64" t="s">
        <v>346</v>
      </c>
      <c r="D41" s="22">
        <v>1</v>
      </c>
    </row>
    <row r="42" spans="3:4" ht="12.75">
      <c r="C42" s="64" t="s">
        <v>90</v>
      </c>
      <c r="D42" s="22">
        <v>1</v>
      </c>
    </row>
    <row r="43" spans="3:4" ht="12.75">
      <c r="C43" s="64" t="s">
        <v>95</v>
      </c>
      <c r="D43" s="22">
        <v>1</v>
      </c>
    </row>
    <row r="44" spans="3:4" ht="12.75">
      <c r="C44" s="64" t="s">
        <v>290</v>
      </c>
      <c r="D44" s="22">
        <v>1</v>
      </c>
    </row>
    <row r="45" spans="3:4" ht="12.75">
      <c r="C45" s="64" t="s">
        <v>292</v>
      </c>
      <c r="D45" s="22">
        <v>1</v>
      </c>
    </row>
    <row r="46" spans="3:4" ht="12.75">
      <c r="C46" s="64" t="s">
        <v>92</v>
      </c>
      <c r="D46" s="22">
        <v>1</v>
      </c>
    </row>
    <row r="47" spans="3:4" ht="12.75">
      <c r="C47" s="64" t="s">
        <v>166</v>
      </c>
      <c r="D47" s="22">
        <v>1</v>
      </c>
    </row>
    <row r="48" spans="3:4" ht="12.75">
      <c r="C48" s="64" t="s">
        <v>177</v>
      </c>
      <c r="D48" s="22">
        <v>1</v>
      </c>
    </row>
    <row r="49" spans="3:4" ht="12.75">
      <c r="C49" s="64" t="s">
        <v>182</v>
      </c>
      <c r="D49" s="22">
        <v>1</v>
      </c>
    </row>
    <row r="50" spans="3:4" ht="12.75">
      <c r="C50" s="64" t="s">
        <v>185</v>
      </c>
      <c r="D50" s="22">
        <v>1</v>
      </c>
    </row>
    <row r="51" spans="3:4" ht="12.75">
      <c r="C51" s="64" t="s">
        <v>206</v>
      </c>
      <c r="D51" s="22">
        <v>1</v>
      </c>
    </row>
    <row r="52" spans="3:4" ht="13.5" thickBot="1">
      <c r="C52" s="110"/>
      <c r="D52" s="317"/>
    </row>
    <row r="53" ht="12.75">
      <c r="D53" s="21" t="s">
        <v>65</v>
      </c>
    </row>
  </sheetData>
  <mergeCells count="2">
    <mergeCell ref="D4:E4"/>
    <mergeCell ref="G4:I4"/>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Hoja2"/>
  <dimension ref="A1:A1"/>
  <sheetViews>
    <sheetView workbookViewId="0" topLeftCell="A1">
      <selection activeCell="F6" sqref="F6:F34"/>
    </sheetView>
  </sheetViews>
  <sheetFormatPr defaultColWidth="9.140625" defaultRowHeight="12.75"/>
  <cols>
    <col min="1" max="16384" width="11.421875" style="0" customWidth="1"/>
  </cols>
  <sheetData/>
  <printOptions/>
  <pageMargins left="0.75" right="0.75" top="1" bottom="1" header="0" footer="0"/>
  <pageSetup horizontalDpi="600" verticalDpi="600" orientation="portrait" paperSize="9" r:id="rId3"/>
  <drawing r:id="rId2"/>
  <legacyDrawing r:id="rId1"/>
</worksheet>
</file>

<file path=xl/worksheets/sheet18.xml><?xml version="1.0" encoding="utf-8"?>
<worksheet xmlns="http://schemas.openxmlformats.org/spreadsheetml/2006/main" xmlns:r="http://schemas.openxmlformats.org/officeDocument/2006/relationships">
  <sheetPr codeName="Hoja3"/>
  <dimension ref="A6:U342"/>
  <sheetViews>
    <sheetView workbookViewId="0" topLeftCell="A4">
      <selection activeCell="F6" sqref="F6:F34"/>
    </sheetView>
  </sheetViews>
  <sheetFormatPr defaultColWidth="9.140625" defaultRowHeight="12.75"/>
  <cols>
    <col min="1" max="16384" width="11.421875" style="0" customWidth="1"/>
  </cols>
  <sheetData>
    <row r="6" ht="12.75">
      <c r="A6" s="312">
        <f>0.01</f>
        <v>0.01</v>
      </c>
    </row>
    <row r="7" ht="12.75">
      <c r="A7" s="288">
        <f>0.15</f>
        <v>0.15</v>
      </c>
    </row>
    <row r="8" ht="12.75">
      <c r="A8" s="288">
        <v>0.04</v>
      </c>
    </row>
    <row r="9" ht="12.75">
      <c r="A9" s="288">
        <v>0.7</v>
      </c>
    </row>
    <row r="10" ht="12.75">
      <c r="A10" s="289">
        <v>50000</v>
      </c>
    </row>
    <row r="11" ht="12.75">
      <c r="A11" s="289">
        <v>100000</v>
      </c>
    </row>
    <row r="12" ht="12.75">
      <c r="A12" s="288">
        <v>0.01</v>
      </c>
    </row>
    <row r="13" ht="12.75">
      <c r="A13" s="289">
        <v>20000</v>
      </c>
    </row>
    <row r="14" ht="12.75">
      <c r="A14" s="305">
        <v>0.015</v>
      </c>
    </row>
    <row r="15" ht="12.75">
      <c r="A15" s="288">
        <v>0.25</v>
      </c>
    </row>
    <row r="16" ht="12.75">
      <c r="A16" s="305">
        <v>0.005</v>
      </c>
    </row>
    <row r="17" ht="12.75">
      <c r="A17" s="288">
        <v>0.02</v>
      </c>
    </row>
    <row r="18" ht="12.75">
      <c r="A18" s="289">
        <v>100000</v>
      </c>
    </row>
    <row r="19" ht="12.75">
      <c r="A19" s="289">
        <v>50000</v>
      </c>
    </row>
    <row r="20" ht="12.75">
      <c r="A20" s="289">
        <v>15000</v>
      </c>
    </row>
    <row r="21" ht="12.75">
      <c r="A21" s="288">
        <v>0.02</v>
      </c>
    </row>
    <row r="22" ht="12.75">
      <c r="A22" s="305">
        <v>0.05</v>
      </c>
    </row>
    <row r="23" ht="12.75">
      <c r="A23" s="309"/>
    </row>
    <row r="24" ht="12.75">
      <c r="A24" s="288">
        <v>0.4</v>
      </c>
    </row>
    <row r="25" ht="12.75">
      <c r="A25" s="288">
        <v>0.2</v>
      </c>
    </row>
    <row r="26" ht="12.75">
      <c r="A26" s="288">
        <v>0.2</v>
      </c>
    </row>
    <row r="27" ht="12.75">
      <c r="A27" s="290">
        <v>50000</v>
      </c>
    </row>
    <row r="28" ht="12.75">
      <c r="A28" s="290">
        <v>21</v>
      </c>
    </row>
    <row r="29" ht="12.75">
      <c r="A29" s="288">
        <v>0.2</v>
      </c>
    </row>
    <row r="30" ht="12.75">
      <c r="A30" s="298"/>
    </row>
    <row r="31" ht="12.75">
      <c r="A31" s="305">
        <v>0.001</v>
      </c>
    </row>
    <row r="32" ht="12.75">
      <c r="A32" s="288">
        <v>0.3</v>
      </c>
    </row>
    <row r="33" ht="12.75">
      <c r="A33" s="288">
        <v>0.1</v>
      </c>
    </row>
    <row r="34" ht="12.75">
      <c r="A34" s="288">
        <v>0.8</v>
      </c>
    </row>
    <row r="40" spans="1:21" ht="12.75">
      <c r="A40">
        <v>0.787985674123168</v>
      </c>
      <c r="B40">
        <v>0.717886194348738</v>
      </c>
      <c r="C40">
        <v>0.658890220930301</v>
      </c>
      <c r="D40">
        <v>0.608543985396319</v>
      </c>
      <c r="E40">
        <v>0.565067360715584</v>
      </c>
      <c r="F40">
        <v>0.527137540146589</v>
      </c>
      <c r="G40">
        <v>0.493751043819662</v>
      </c>
      <c r="H40">
        <v>0.464132847609942</v>
      </c>
      <c r="I40">
        <v>0.437674871901412</v>
      </c>
      <c r="J40">
        <v>0.413893328742916</v>
      </c>
      <c r="K40">
        <v>0.392398510004745</v>
      </c>
      <c r="L40">
        <v>0.372872979210505</v>
      </c>
      <c r="M40">
        <v>0.355055560730764</v>
      </c>
      <c r="N40">
        <v>0.338729404628164</v>
      </c>
      <c r="O40">
        <v>0.323712966022472</v>
      </c>
      <c r="P40">
        <v>0.309853101116736</v>
      </c>
      <c r="Q40">
        <v>0.297019722249948</v>
      </c>
      <c r="R40">
        <v>0.285101616147952</v>
      </c>
      <c r="S40">
        <v>0.274003140379961</v>
      </c>
      <c r="T40">
        <v>0.263641590129966</v>
      </c>
      <c r="U40">
        <v>0.253945081795316</v>
      </c>
    </row>
    <row r="41" spans="1:21" ht="12.75">
      <c r="A41">
        <v>83806714.3696</v>
      </c>
      <c r="B41">
        <v>97356816.2268</v>
      </c>
      <c r="C41">
        <v>110996827.0403</v>
      </c>
      <c r="D41">
        <v>124730411.2061</v>
      </c>
      <c r="E41">
        <v>138561233.1639</v>
      </c>
      <c r="F41">
        <v>152492957.3975</v>
      </c>
      <c r="G41">
        <v>166529248.4365</v>
      </c>
      <c r="H41">
        <v>180673770.8566</v>
      </c>
      <c r="I41">
        <v>194930189.2813</v>
      </c>
      <c r="J41">
        <v>209302168.3829</v>
      </c>
      <c r="K41">
        <v>223793372.8832</v>
      </c>
      <c r="L41">
        <v>238407467.5553</v>
      </c>
      <c r="M41">
        <v>253148117.2246</v>
      </c>
      <c r="N41">
        <v>268018986.77</v>
      </c>
      <c r="O41">
        <v>283023741.1252</v>
      </c>
      <c r="P41">
        <v>298166045.2801</v>
      </c>
      <c r="Q41">
        <v>313449564.2822</v>
      </c>
      <c r="R41">
        <v>328877963.2382</v>
      </c>
      <c r="S41">
        <v>344454907.3149</v>
      </c>
      <c r="T41">
        <v>360184061.7416</v>
      </c>
      <c r="U41">
        <v>376069091.8109</v>
      </c>
    </row>
    <row r="42" spans="1:21" ht="12.75">
      <c r="A42">
        <v>0</v>
      </c>
      <c r="B42">
        <v>0.05</v>
      </c>
      <c r="C42">
        <v>0.1</v>
      </c>
      <c r="D42">
        <v>0.15</v>
      </c>
      <c r="E42">
        <v>0.2</v>
      </c>
      <c r="F42">
        <v>0.25</v>
      </c>
      <c r="G42">
        <v>0.3</v>
      </c>
      <c r="H42">
        <v>0.35</v>
      </c>
      <c r="I42">
        <v>0.4</v>
      </c>
      <c r="J42">
        <v>0.45</v>
      </c>
      <c r="K42">
        <v>0.5</v>
      </c>
      <c r="L42">
        <v>0.55</v>
      </c>
      <c r="M42">
        <v>0.6</v>
      </c>
      <c r="N42">
        <v>0.65</v>
      </c>
      <c r="O42">
        <v>0.7</v>
      </c>
      <c r="P42">
        <v>0.75</v>
      </c>
      <c r="Q42">
        <v>0.8</v>
      </c>
      <c r="R42">
        <v>0.85</v>
      </c>
      <c r="S42">
        <v>0.9</v>
      </c>
      <c r="T42">
        <v>0.95</v>
      </c>
      <c r="U42">
        <v>1</v>
      </c>
    </row>
    <row r="50" spans="1:21" ht="12.75">
      <c r="A50">
        <v>0.83127519788234</v>
      </c>
      <c r="B50">
        <v>0.753619646873237</v>
      </c>
      <c r="C50">
        <v>0.688852820359304</v>
      </c>
      <c r="D50">
        <v>0.634001769944864</v>
      </c>
      <c r="E50">
        <v>0.586942849697047</v>
      </c>
      <c r="F50">
        <v>0.546118653348971</v>
      </c>
      <c r="G50">
        <v>0.510361086369588</v>
      </c>
      <c r="H50">
        <v>0.478776875611278</v>
      </c>
      <c r="I50">
        <v>0.450671238038371</v>
      </c>
      <c r="J50">
        <v>0.425495651455076</v>
      </c>
      <c r="K50">
        <v>0.402811292404081</v>
      </c>
      <c r="L50">
        <v>0.382262919359525</v>
      </c>
      <c r="M50">
        <v>0.363559878024131</v>
      </c>
      <c r="N50">
        <v>0.346462061328837</v>
      </c>
      <c r="O50">
        <v>0.330769379138349</v>
      </c>
      <c r="P50">
        <v>0.316313755026776</v>
      </c>
      <c r="Q50">
        <v>0.302952969812966</v>
      </c>
      <c r="R50">
        <v>0.290565873103166</v>
      </c>
      <c r="S50">
        <v>0.279048620864912</v>
      </c>
      <c r="T50">
        <v>0.268311691387557</v>
      </c>
      <c r="U50">
        <v>0.258277498018806</v>
      </c>
    </row>
    <row r="51" spans="1:21" ht="12.75">
      <c r="A51">
        <v>76427427.0201</v>
      </c>
      <c r="B51">
        <v>89981817.9236</v>
      </c>
      <c r="C51">
        <v>103625685.6047</v>
      </c>
      <c r="D51">
        <v>117362694.4594</v>
      </c>
      <c r="E51">
        <v>131196508.9273</v>
      </c>
      <c r="F51">
        <v>145130793.4925</v>
      </c>
      <c r="G51">
        <v>159169212.6842</v>
      </c>
      <c r="H51">
        <v>173315431.0783</v>
      </c>
      <c r="I51">
        <v>187573113.2984</v>
      </c>
      <c r="J51">
        <v>201945924.0165</v>
      </c>
      <c r="K51">
        <v>216437527.9547</v>
      </c>
      <c r="L51">
        <v>231051589.886</v>
      </c>
      <c r="M51">
        <v>245791774.6358</v>
      </c>
      <c r="N51">
        <v>260661747.083</v>
      </c>
      <c r="O51">
        <v>275665172.1612</v>
      </c>
      <c r="P51">
        <v>290805714.8605</v>
      </c>
      <c r="Q51">
        <v>306087040.2282</v>
      </c>
      <c r="R51">
        <v>321512813.3711</v>
      </c>
      <c r="S51">
        <v>337086699.4561</v>
      </c>
      <c r="T51">
        <v>352812363.7122</v>
      </c>
      <c r="U51">
        <v>368693471.4323</v>
      </c>
    </row>
    <row r="52" spans="1:21" ht="12.75">
      <c r="A52">
        <v>0</v>
      </c>
      <c r="B52">
        <v>5</v>
      </c>
      <c r="C52">
        <v>10</v>
      </c>
      <c r="D52">
        <v>15</v>
      </c>
      <c r="E52">
        <v>20</v>
      </c>
      <c r="F52">
        <v>25</v>
      </c>
      <c r="G52">
        <v>30</v>
      </c>
      <c r="H52">
        <v>35</v>
      </c>
      <c r="I52">
        <v>40</v>
      </c>
      <c r="J52">
        <v>45</v>
      </c>
      <c r="K52">
        <v>50</v>
      </c>
      <c r="L52">
        <v>55</v>
      </c>
      <c r="M52">
        <v>60</v>
      </c>
      <c r="N52">
        <v>65</v>
      </c>
      <c r="O52">
        <v>70</v>
      </c>
      <c r="P52">
        <v>75</v>
      </c>
      <c r="Q52">
        <v>80</v>
      </c>
      <c r="R52">
        <v>85</v>
      </c>
      <c r="S52">
        <v>90</v>
      </c>
      <c r="T52">
        <v>95</v>
      </c>
      <c r="U52">
        <v>100</v>
      </c>
    </row>
    <row r="60" spans="1:21" ht="12.75">
      <c r="A60">
        <v>0.402811292404081</v>
      </c>
      <c r="B60">
        <v>0.402811292404081</v>
      </c>
      <c r="C60">
        <v>0.402811292404081</v>
      </c>
      <c r="D60">
        <v>0.402811292404081</v>
      </c>
      <c r="E60">
        <v>0.402811292404081</v>
      </c>
      <c r="F60">
        <v>0.402811292404081</v>
      </c>
      <c r="G60">
        <v>0.402811292404081</v>
      </c>
      <c r="H60">
        <v>0.402811292404081</v>
      </c>
      <c r="I60">
        <v>0.402811292404081</v>
      </c>
      <c r="J60">
        <v>0.402811292404081</v>
      </c>
      <c r="K60">
        <v>0.402811292404081</v>
      </c>
      <c r="L60">
        <v>0.402811292404081</v>
      </c>
      <c r="M60">
        <v>0.402811292404081</v>
      </c>
      <c r="N60">
        <v>0.402811292404081</v>
      </c>
      <c r="O60">
        <v>0.402811292404081</v>
      </c>
      <c r="P60">
        <v>0.402811292404081</v>
      </c>
      <c r="Q60">
        <v>0.402811292404081</v>
      </c>
      <c r="R60">
        <v>0.402811292404081</v>
      </c>
      <c r="S60">
        <v>0.402811292404081</v>
      </c>
      <c r="T60">
        <v>0.402811292404081</v>
      </c>
      <c r="U60">
        <v>0.402811292404081</v>
      </c>
    </row>
    <row r="61" spans="1:21" ht="12.75">
      <c r="A61">
        <v>216437527.9547</v>
      </c>
      <c r="B61">
        <v>216437527.9547</v>
      </c>
      <c r="C61">
        <v>216437527.9547</v>
      </c>
      <c r="D61">
        <v>216437527.9547</v>
      </c>
      <c r="E61">
        <v>216437527.9547</v>
      </c>
      <c r="F61">
        <v>216437527.9547</v>
      </c>
      <c r="G61">
        <v>216437527.9547</v>
      </c>
      <c r="H61">
        <v>216437527.9547</v>
      </c>
      <c r="I61">
        <v>216437527.9547</v>
      </c>
      <c r="J61">
        <v>216437527.9547</v>
      </c>
      <c r="K61">
        <v>216437527.9547</v>
      </c>
      <c r="L61">
        <v>216437527.9547</v>
      </c>
      <c r="M61">
        <v>216437527.9547</v>
      </c>
      <c r="N61">
        <v>216437527.9547</v>
      </c>
      <c r="O61">
        <v>216437527.9547</v>
      </c>
      <c r="P61">
        <v>216437527.9547</v>
      </c>
      <c r="Q61">
        <v>216437527.9547</v>
      </c>
      <c r="R61">
        <v>216437527.9547</v>
      </c>
      <c r="S61">
        <v>216437527.9547</v>
      </c>
      <c r="T61">
        <v>216437527.9547</v>
      </c>
      <c r="U61">
        <v>216437527.9547</v>
      </c>
    </row>
    <row r="62" spans="1:21" ht="12.75">
      <c r="A62">
        <v>0</v>
      </c>
      <c r="B62">
        <v>0.1</v>
      </c>
      <c r="C62">
        <v>0.2</v>
      </c>
      <c r="D62">
        <v>0.3</v>
      </c>
      <c r="E62">
        <v>0.4</v>
      </c>
      <c r="F62">
        <v>0.5</v>
      </c>
      <c r="G62">
        <v>0.6</v>
      </c>
      <c r="H62">
        <v>0.7</v>
      </c>
      <c r="I62">
        <v>0.8</v>
      </c>
      <c r="J62">
        <v>0.9</v>
      </c>
      <c r="K62">
        <v>1</v>
      </c>
      <c r="L62">
        <v>1.1</v>
      </c>
      <c r="M62">
        <v>1.2</v>
      </c>
      <c r="N62">
        <v>1.3</v>
      </c>
      <c r="O62">
        <v>1.4</v>
      </c>
      <c r="P62">
        <v>1.5</v>
      </c>
      <c r="Q62">
        <v>1.6</v>
      </c>
      <c r="R62">
        <v>1.7</v>
      </c>
      <c r="S62">
        <v>1.8</v>
      </c>
      <c r="T62">
        <v>1.9</v>
      </c>
      <c r="U62">
        <v>2</v>
      </c>
    </row>
    <row r="70" spans="1:21" ht="12.75">
      <c r="A70">
        <v>0.402848215616857</v>
      </c>
      <c r="B70">
        <v>0.402844522990975</v>
      </c>
      <c r="C70">
        <v>0.402840830432788</v>
      </c>
      <c r="D70">
        <v>0.402837137942294</v>
      </c>
      <c r="E70">
        <v>0.402833445519491</v>
      </c>
      <c r="F70">
        <v>0.402829753164377</v>
      </c>
      <c r="G70">
        <v>0.402826060876951</v>
      </c>
      <c r="H70">
        <v>0.40282236865721</v>
      </c>
      <c r="I70">
        <v>0.402818676505152</v>
      </c>
      <c r="J70">
        <v>0.402814984420777</v>
      </c>
      <c r="K70">
        <v>0.402811292404081</v>
      </c>
      <c r="L70">
        <v>0.402807600455063</v>
      </c>
      <c r="M70">
        <v>0.402803908573722</v>
      </c>
      <c r="N70">
        <v>0.402800216760054</v>
      </c>
      <c r="O70">
        <v>0.402796525014059</v>
      </c>
      <c r="P70">
        <v>0.402792833335735</v>
      </c>
      <c r="Q70">
        <v>0.40278914172508</v>
      </c>
      <c r="R70">
        <v>0.402785450182091</v>
      </c>
      <c r="S70">
        <v>0.402781758706768</v>
      </c>
      <c r="T70">
        <v>0.402778067299107</v>
      </c>
      <c r="U70">
        <v>0.402774375959108</v>
      </c>
    </row>
    <row r="71" spans="1:21" ht="12.75">
      <c r="A71">
        <v>216412121.085</v>
      </c>
      <c r="B71">
        <v>216414661.772</v>
      </c>
      <c r="C71">
        <v>216417202.4589</v>
      </c>
      <c r="D71">
        <v>216419743.1459</v>
      </c>
      <c r="E71">
        <v>216422283.8329</v>
      </c>
      <c r="F71">
        <v>216424824.5198</v>
      </c>
      <c r="G71">
        <v>216427365.2068</v>
      </c>
      <c r="H71">
        <v>216429905.8938</v>
      </c>
      <c r="I71">
        <v>216432446.5808</v>
      </c>
      <c r="J71">
        <v>216434987.2677</v>
      </c>
      <c r="K71">
        <v>216437527.9547</v>
      </c>
      <c r="L71">
        <v>216440068.6417</v>
      </c>
      <c r="M71">
        <v>216442609.3286</v>
      </c>
      <c r="N71">
        <v>216445150.0156</v>
      </c>
      <c r="O71">
        <v>216447690.7026</v>
      </c>
      <c r="P71">
        <v>216450231.3896</v>
      </c>
      <c r="Q71">
        <v>216452772.0765</v>
      </c>
      <c r="R71">
        <v>216455312.7635</v>
      </c>
      <c r="S71">
        <v>216457853.4505</v>
      </c>
      <c r="T71">
        <v>216460394.1374</v>
      </c>
      <c r="U71">
        <v>216462934.8244</v>
      </c>
    </row>
    <row r="72" spans="1:21" ht="12.75">
      <c r="A72">
        <v>10</v>
      </c>
      <c r="B72">
        <v>10.5</v>
      </c>
      <c r="C72">
        <v>11</v>
      </c>
      <c r="D72">
        <v>11.5</v>
      </c>
      <c r="E72">
        <v>12</v>
      </c>
      <c r="F72">
        <v>12.5</v>
      </c>
      <c r="G72">
        <v>13</v>
      </c>
      <c r="H72">
        <v>13.5</v>
      </c>
      <c r="I72">
        <v>14</v>
      </c>
      <c r="J72">
        <v>14.5</v>
      </c>
      <c r="K72">
        <v>15</v>
      </c>
      <c r="L72">
        <v>15.5</v>
      </c>
      <c r="M72">
        <v>16</v>
      </c>
      <c r="N72">
        <v>16.5</v>
      </c>
      <c r="O72">
        <v>17</v>
      </c>
      <c r="P72">
        <v>17.5</v>
      </c>
      <c r="Q72">
        <v>18</v>
      </c>
      <c r="R72">
        <v>18.5</v>
      </c>
      <c r="S72">
        <v>19</v>
      </c>
      <c r="T72">
        <v>19.5</v>
      </c>
      <c r="U72">
        <v>20</v>
      </c>
    </row>
    <row r="80" spans="1:21" ht="12.75">
      <c r="A80">
        <v>0.408795928263544</v>
      </c>
      <c r="B80">
        <v>0.408189474221429</v>
      </c>
      <c r="C80">
        <v>0.407584816878703</v>
      </c>
      <c r="D80">
        <v>0.406981948262742</v>
      </c>
      <c r="E80">
        <v>0.40638086044802</v>
      </c>
      <c r="F80">
        <v>0.405781545555766</v>
      </c>
      <c r="G80">
        <v>0.405183995753616</v>
      </c>
      <c r="H80">
        <v>0.404588203255274</v>
      </c>
      <c r="I80">
        <v>0.403994160320176</v>
      </c>
      <c r="J80">
        <v>0.403401859253148</v>
      </c>
      <c r="K80">
        <v>0.402811292404081</v>
      </c>
      <c r="L80">
        <v>0.402222452167597</v>
      </c>
      <c r="M80">
        <v>0.401635330982725</v>
      </c>
      <c r="N80">
        <v>0.401049921332576</v>
      </c>
      <c r="O80">
        <v>0.400466215744022</v>
      </c>
      <c r="P80">
        <v>0.399884206787379</v>
      </c>
      <c r="Q80">
        <v>0.399303887076093</v>
      </c>
      <c r="R80">
        <v>0.398725249266424</v>
      </c>
      <c r="S80">
        <v>0.398148286057138</v>
      </c>
      <c r="T80">
        <v>0.397572990189202</v>
      </c>
      <c r="U80">
        <v>0.396999354445476</v>
      </c>
    </row>
    <row r="81" spans="1:21" ht="12.75">
      <c r="A81">
        <v>212379413.5064</v>
      </c>
      <c r="B81">
        <v>212785224.9512</v>
      </c>
      <c r="C81">
        <v>213191036.396</v>
      </c>
      <c r="D81">
        <v>213596847.8409</v>
      </c>
      <c r="E81">
        <v>214002659.2857</v>
      </c>
      <c r="F81">
        <v>214408470.7305</v>
      </c>
      <c r="G81">
        <v>214814282.1754</v>
      </c>
      <c r="H81">
        <v>215220093.6202</v>
      </c>
      <c r="I81">
        <v>215625905.065</v>
      </c>
      <c r="J81">
        <v>216031716.5099</v>
      </c>
      <c r="K81">
        <v>216437527.9547</v>
      </c>
      <c r="L81">
        <v>216843339.3995</v>
      </c>
      <c r="M81">
        <v>217249150.8444</v>
      </c>
      <c r="N81">
        <v>217654962.2892</v>
      </c>
      <c r="O81">
        <v>218060773.734</v>
      </c>
      <c r="P81">
        <v>218466585.1789</v>
      </c>
      <c r="Q81">
        <v>218872396.6237</v>
      </c>
      <c r="R81">
        <v>219278208.0685</v>
      </c>
      <c r="S81">
        <v>219684019.5134</v>
      </c>
      <c r="T81">
        <v>220089830.9582</v>
      </c>
      <c r="U81">
        <v>220495642.403</v>
      </c>
    </row>
    <row r="82" spans="1:21" ht="12.75">
      <c r="A82">
        <v>2</v>
      </c>
      <c r="B82">
        <v>2.2</v>
      </c>
      <c r="C82">
        <v>2.4</v>
      </c>
      <c r="D82">
        <v>2.6</v>
      </c>
      <c r="E82">
        <v>2.8</v>
      </c>
      <c r="F82">
        <v>3</v>
      </c>
      <c r="G82">
        <v>3.2</v>
      </c>
      <c r="H82">
        <v>3.4</v>
      </c>
      <c r="I82">
        <v>3.6</v>
      </c>
      <c r="J82">
        <v>3.8</v>
      </c>
      <c r="K82">
        <v>4</v>
      </c>
      <c r="L82">
        <v>4.2</v>
      </c>
      <c r="M82">
        <v>4.4</v>
      </c>
      <c r="N82">
        <v>4.6</v>
      </c>
      <c r="O82">
        <v>4.8</v>
      </c>
      <c r="P82">
        <v>5</v>
      </c>
      <c r="Q82">
        <v>5.2</v>
      </c>
      <c r="R82">
        <v>5.4</v>
      </c>
      <c r="S82">
        <v>5.6</v>
      </c>
      <c r="T82">
        <v>5.8</v>
      </c>
      <c r="U82">
        <v>6</v>
      </c>
    </row>
    <row r="90" spans="1:21" ht="12.75">
      <c r="A90">
        <v>0.406209447054596</v>
      </c>
      <c r="B90">
        <v>0.405867053720025</v>
      </c>
      <c r="C90">
        <v>0.405525237104996</v>
      </c>
      <c r="D90">
        <v>0.405183995753616</v>
      </c>
      <c r="E90">
        <v>0.404843328214885</v>
      </c>
      <c r="F90">
        <v>0.404503233042684</v>
      </c>
      <c r="G90">
        <v>0.404163708795745</v>
      </c>
      <c r="H90">
        <v>0.403824754037637</v>
      </c>
      <c r="I90">
        <v>0.403486367336743</v>
      </c>
      <c r="J90">
        <v>0.40314854726624</v>
      </c>
      <c r="K90">
        <v>0.402811292404081</v>
      </c>
      <c r="L90">
        <v>0.402474601332972</v>
      </c>
      <c r="M90">
        <v>0.402138472640354</v>
      </c>
      <c r="N90">
        <v>0.401802904918384</v>
      </c>
      <c r="O90">
        <v>0.401467896763913</v>
      </c>
      <c r="P90">
        <v>0.401133446778467</v>
      </c>
      <c r="Q90">
        <v>0.40079955356823</v>
      </c>
      <c r="R90">
        <v>0.400466215744022</v>
      </c>
      <c r="S90">
        <v>0.40013343192128</v>
      </c>
      <c r="T90">
        <v>0.399801200720041</v>
      </c>
      <c r="U90">
        <v>0.39946952076492</v>
      </c>
    </row>
    <row r="91" spans="1:21" ht="12.75">
      <c r="A91">
        <v>214118605.4128</v>
      </c>
      <c r="B91">
        <v>214350497.667</v>
      </c>
      <c r="C91">
        <v>214582389.9212</v>
      </c>
      <c r="D91">
        <v>214814282.1754</v>
      </c>
      <c r="E91">
        <v>215046174.4296</v>
      </c>
      <c r="F91">
        <v>215278066.6837</v>
      </c>
      <c r="G91">
        <v>215509958.9379</v>
      </c>
      <c r="H91">
        <v>215741851.1921</v>
      </c>
      <c r="I91">
        <v>215973743.4463</v>
      </c>
      <c r="J91">
        <v>216205635.7005</v>
      </c>
      <c r="K91">
        <v>216437527.9547</v>
      </c>
      <c r="L91">
        <v>216669420.2089</v>
      </c>
      <c r="M91">
        <v>216901312.4631</v>
      </c>
      <c r="N91">
        <v>217133204.7173</v>
      </c>
      <c r="O91">
        <v>217365096.9715</v>
      </c>
      <c r="P91">
        <v>217596989.2256</v>
      </c>
      <c r="Q91">
        <v>217828881.4798</v>
      </c>
      <c r="R91">
        <v>218060773.734</v>
      </c>
      <c r="S91">
        <v>218292665.9882</v>
      </c>
      <c r="T91">
        <v>218524558.2424</v>
      </c>
      <c r="U91">
        <v>218756450.4966</v>
      </c>
    </row>
    <row r="92" spans="1:21" ht="12.75">
      <c r="A92">
        <v>50</v>
      </c>
      <c r="B92">
        <v>52</v>
      </c>
      <c r="C92">
        <v>54</v>
      </c>
      <c r="D92">
        <v>56</v>
      </c>
      <c r="E92">
        <v>58</v>
      </c>
      <c r="F92">
        <v>60</v>
      </c>
      <c r="G92">
        <v>62</v>
      </c>
      <c r="H92">
        <v>64</v>
      </c>
      <c r="I92">
        <v>66</v>
      </c>
      <c r="J92">
        <v>68</v>
      </c>
      <c r="K92">
        <v>70</v>
      </c>
      <c r="L92">
        <v>72</v>
      </c>
      <c r="M92">
        <v>74</v>
      </c>
      <c r="N92">
        <v>76</v>
      </c>
      <c r="O92">
        <v>78</v>
      </c>
      <c r="P92">
        <v>80</v>
      </c>
      <c r="Q92">
        <v>82</v>
      </c>
      <c r="R92">
        <v>84</v>
      </c>
      <c r="S92">
        <v>86</v>
      </c>
      <c r="T92">
        <v>88</v>
      </c>
      <c r="U92">
        <v>90</v>
      </c>
    </row>
    <row r="100" spans="1:21" ht="12.75">
      <c r="A100">
        <v>0.402811292404081</v>
      </c>
      <c r="B100">
        <v>0.402811292404081</v>
      </c>
      <c r="C100">
        <v>0.402811292404081</v>
      </c>
      <c r="D100">
        <v>0.402811292404081</v>
      </c>
      <c r="E100">
        <v>0.402811292404081</v>
      </c>
      <c r="F100">
        <v>0.402811292404081</v>
      </c>
      <c r="G100">
        <v>0.402811292404081</v>
      </c>
      <c r="H100">
        <v>0.402811292404081</v>
      </c>
      <c r="I100">
        <v>0.402811292404081</v>
      </c>
      <c r="J100">
        <v>0.402811292404081</v>
      </c>
      <c r="K100">
        <v>0.402811292404081</v>
      </c>
      <c r="L100">
        <v>0.402811292404081</v>
      </c>
      <c r="M100">
        <v>0.402811292404081</v>
      </c>
      <c r="N100">
        <v>0.402811292404081</v>
      </c>
      <c r="O100">
        <v>0.402811292404081</v>
      </c>
      <c r="P100">
        <v>0.402811292404081</v>
      </c>
      <c r="Q100">
        <v>0.402811292404081</v>
      </c>
      <c r="R100">
        <v>0.402811292404081</v>
      </c>
      <c r="S100">
        <v>0.402811292404081</v>
      </c>
      <c r="T100">
        <v>0.402811292404081</v>
      </c>
      <c r="U100">
        <v>0.402811292404081</v>
      </c>
    </row>
    <row r="101" spans="1:21" ht="12.75">
      <c r="A101">
        <v>216437527.9547</v>
      </c>
      <c r="B101">
        <v>216437527.9547</v>
      </c>
      <c r="C101">
        <v>216437527.9547</v>
      </c>
      <c r="D101">
        <v>216437527.9547</v>
      </c>
      <c r="E101">
        <v>216437527.9547</v>
      </c>
      <c r="F101">
        <v>216437527.9547</v>
      </c>
      <c r="G101">
        <v>216437527.9547</v>
      </c>
      <c r="H101">
        <v>216437527.9547</v>
      </c>
      <c r="I101">
        <v>216437527.9547</v>
      </c>
      <c r="J101">
        <v>216437527.9547</v>
      </c>
      <c r="K101">
        <v>216437527.9547</v>
      </c>
      <c r="L101">
        <v>216437527.9547</v>
      </c>
      <c r="M101">
        <v>216437527.9547</v>
      </c>
      <c r="N101">
        <v>216437527.9547</v>
      </c>
      <c r="O101">
        <v>216437527.9547</v>
      </c>
      <c r="P101">
        <v>216437527.9547</v>
      </c>
      <c r="Q101">
        <v>216437527.9547</v>
      </c>
      <c r="R101">
        <v>216437527.9547</v>
      </c>
      <c r="S101">
        <v>216437527.9547</v>
      </c>
      <c r="T101">
        <v>216437527.9547</v>
      </c>
      <c r="U101">
        <v>216437527.9547</v>
      </c>
    </row>
    <row r="102" spans="1:21" ht="12.75">
      <c r="A102">
        <v>25000</v>
      </c>
      <c r="B102">
        <v>27500</v>
      </c>
      <c r="C102">
        <v>30000</v>
      </c>
      <c r="D102">
        <v>32500</v>
      </c>
      <c r="E102">
        <v>35000</v>
      </c>
      <c r="F102">
        <v>37500</v>
      </c>
      <c r="G102">
        <v>40000</v>
      </c>
      <c r="H102">
        <v>42500</v>
      </c>
      <c r="I102">
        <v>45000</v>
      </c>
      <c r="J102">
        <v>47500</v>
      </c>
      <c r="K102">
        <v>50000</v>
      </c>
      <c r="L102">
        <v>52500</v>
      </c>
      <c r="M102">
        <v>55000</v>
      </c>
      <c r="N102">
        <v>57500</v>
      </c>
      <c r="O102">
        <v>60000</v>
      </c>
      <c r="P102">
        <v>62500</v>
      </c>
      <c r="Q102">
        <v>65000</v>
      </c>
      <c r="R102">
        <v>67500</v>
      </c>
      <c r="S102">
        <v>70000</v>
      </c>
      <c r="T102">
        <v>72500</v>
      </c>
      <c r="U102">
        <v>75000</v>
      </c>
    </row>
    <row r="110" spans="1:21" ht="12.75">
      <c r="A110">
        <v>0.402977881116214</v>
      </c>
      <c r="B110">
        <v>0.402961216044682</v>
      </c>
      <c r="C110">
        <v>0.402944552351453</v>
      </c>
      <c r="D110">
        <v>0.402927890036359</v>
      </c>
      <c r="E110">
        <v>0.402911229099227</v>
      </c>
      <c r="F110">
        <v>0.402894569539887</v>
      </c>
      <c r="G110">
        <v>0.402877911358168</v>
      </c>
      <c r="H110">
        <v>0.402861254553898</v>
      </c>
      <c r="I110">
        <v>0.402844599126908</v>
      </c>
      <c r="J110">
        <v>0.402827945077026</v>
      </c>
      <c r="K110">
        <v>0.402811292404081</v>
      </c>
      <c r="L110">
        <v>0.402794641107903</v>
      </c>
      <c r="M110">
        <v>0.402777991188321</v>
      </c>
      <c r="N110">
        <v>0.402761342645164</v>
      </c>
      <c r="O110">
        <v>0.402744695478262</v>
      </c>
      <c r="P110">
        <v>0.402728049687444</v>
      </c>
      <c r="Q110">
        <v>0.402711405272539</v>
      </c>
      <c r="R110">
        <v>0.402694762233377</v>
      </c>
      <c r="S110">
        <v>0.402678120569787</v>
      </c>
      <c r="T110">
        <v>0.402661480281599</v>
      </c>
      <c r="U110">
        <v>0.402644841368642</v>
      </c>
    </row>
    <row r="111" spans="1:21" ht="12.75">
      <c r="A111">
        <v>216322935.1145</v>
      </c>
      <c r="B111">
        <v>216334394.3985</v>
      </c>
      <c r="C111">
        <v>216345853.6825</v>
      </c>
      <c r="D111">
        <v>216357312.9665</v>
      </c>
      <c r="E111">
        <v>216368772.2506</v>
      </c>
      <c r="F111">
        <v>216380231.5346</v>
      </c>
      <c r="G111">
        <v>216391690.8186</v>
      </c>
      <c r="H111">
        <v>216403150.1026</v>
      </c>
      <c r="I111">
        <v>216414609.3867</v>
      </c>
      <c r="J111">
        <v>216426068.6707</v>
      </c>
      <c r="K111">
        <v>216437527.9547</v>
      </c>
      <c r="L111">
        <v>216448987.2387</v>
      </c>
      <c r="M111">
        <v>216460446.5227</v>
      </c>
      <c r="N111">
        <v>216471905.8068</v>
      </c>
      <c r="O111">
        <v>216483365.0908</v>
      </c>
      <c r="P111">
        <v>216494824.3748</v>
      </c>
      <c r="Q111">
        <v>216506283.6588</v>
      </c>
      <c r="R111">
        <v>216517742.9429</v>
      </c>
      <c r="S111">
        <v>216529202.2269</v>
      </c>
      <c r="T111">
        <v>216540661.5109</v>
      </c>
      <c r="U111">
        <v>216552120.7949</v>
      </c>
    </row>
    <row r="112" spans="1:21" ht="12.75">
      <c r="A112">
        <v>50000</v>
      </c>
      <c r="B112">
        <v>55000</v>
      </c>
      <c r="C112">
        <v>60000</v>
      </c>
      <c r="D112">
        <v>65000</v>
      </c>
      <c r="E112">
        <v>70000</v>
      </c>
      <c r="F112">
        <v>75000</v>
      </c>
      <c r="G112">
        <v>80000</v>
      </c>
      <c r="H112">
        <v>85000</v>
      </c>
      <c r="I112">
        <v>90000</v>
      </c>
      <c r="J112">
        <v>95000</v>
      </c>
      <c r="K112">
        <v>100000</v>
      </c>
      <c r="L112">
        <v>105000</v>
      </c>
      <c r="M112">
        <v>110000</v>
      </c>
      <c r="N112">
        <v>115000</v>
      </c>
      <c r="O112">
        <v>120000</v>
      </c>
      <c r="P112">
        <v>125000</v>
      </c>
      <c r="Q112">
        <v>130000</v>
      </c>
      <c r="R112">
        <v>135000</v>
      </c>
      <c r="S112">
        <v>140000</v>
      </c>
      <c r="T112">
        <v>145000</v>
      </c>
      <c r="U112">
        <v>150000</v>
      </c>
    </row>
    <row r="120" spans="1:21" ht="12.75">
      <c r="A120">
        <v>0.48376557446781</v>
      </c>
      <c r="B120">
        <v>0.474234726515261</v>
      </c>
      <c r="C120">
        <v>0.465072164479925</v>
      </c>
      <c r="D120">
        <v>0.456256946316968</v>
      </c>
      <c r="E120">
        <v>0.447769688231054</v>
      </c>
      <c r="F120">
        <v>0.439592422390915</v>
      </c>
      <c r="G120">
        <v>0.431708469954992</v>
      </c>
      <c r="H120">
        <v>0.424102327519814</v>
      </c>
      <c r="I120">
        <v>0.416759565364338</v>
      </c>
      <c r="J120">
        <v>0.409666736084966</v>
      </c>
      <c r="K120">
        <v>0.402811292404081</v>
      </c>
      <c r="L120">
        <v>0.396181513095202</v>
      </c>
      <c r="M120">
        <v>0.389766436104782</v>
      </c>
      <c r="N120">
        <v>0.383555798067927</v>
      </c>
      <c r="O120">
        <v>0.377539979516056</v>
      </c>
      <c r="P120">
        <v>0.371709955161222</v>
      </c>
      <c r="Q120">
        <v>0.366057248716681</v>
      </c>
      <c r="R120">
        <v>0.360573891778063</v>
      </c>
      <c r="S120">
        <v>0.355252386345625</v>
      </c>
      <c r="T120">
        <v>0.35008567061693</v>
      </c>
      <c r="U120">
        <v>0.345067087721747</v>
      </c>
    </row>
    <row r="121" spans="1:21" ht="12.75">
      <c r="A121">
        <v>170050346.2336</v>
      </c>
      <c r="B121">
        <v>174689064.4058</v>
      </c>
      <c r="C121">
        <v>179327782.5779</v>
      </c>
      <c r="D121">
        <v>183966500.75</v>
      </c>
      <c r="E121">
        <v>188605218.9221</v>
      </c>
      <c r="F121">
        <v>193243937.0942</v>
      </c>
      <c r="G121">
        <v>197882655.2663</v>
      </c>
      <c r="H121">
        <v>202521373.4384</v>
      </c>
      <c r="I121">
        <v>207160091.6105</v>
      </c>
      <c r="J121">
        <v>211798809.7826</v>
      </c>
      <c r="K121">
        <v>216437527.9547</v>
      </c>
      <c r="L121">
        <v>221076246.1268</v>
      </c>
      <c r="M121">
        <v>225714964.2989</v>
      </c>
      <c r="N121">
        <v>230353682.471</v>
      </c>
      <c r="O121">
        <v>234992400.6431</v>
      </c>
      <c r="P121">
        <v>239631118.8152</v>
      </c>
      <c r="Q121">
        <v>244269836.9873</v>
      </c>
      <c r="R121">
        <v>248908555.1594</v>
      </c>
      <c r="S121">
        <v>253547273.3315</v>
      </c>
      <c r="T121">
        <v>258185991.5036</v>
      </c>
      <c r="U121">
        <v>262824709.6757</v>
      </c>
    </row>
    <row r="122" spans="1:21" ht="12.75">
      <c r="A122">
        <v>0.5</v>
      </c>
      <c r="B122">
        <v>0.55</v>
      </c>
      <c r="C122">
        <v>0.6</v>
      </c>
      <c r="D122">
        <v>0.65</v>
      </c>
      <c r="E122">
        <v>0.7</v>
      </c>
      <c r="F122">
        <v>0.75</v>
      </c>
      <c r="G122">
        <v>0.8</v>
      </c>
      <c r="H122">
        <v>0.85</v>
      </c>
      <c r="I122">
        <v>0.9</v>
      </c>
      <c r="J122">
        <v>0.95</v>
      </c>
      <c r="K122">
        <v>1</v>
      </c>
      <c r="L122">
        <v>1.05</v>
      </c>
      <c r="M122">
        <v>1.1</v>
      </c>
      <c r="N122">
        <v>1.15</v>
      </c>
      <c r="O122">
        <v>1.2</v>
      </c>
      <c r="P122">
        <v>1.25</v>
      </c>
      <c r="Q122">
        <v>1.3</v>
      </c>
      <c r="R122">
        <v>1.35</v>
      </c>
      <c r="S122">
        <v>1.4</v>
      </c>
      <c r="T122">
        <v>1.45</v>
      </c>
      <c r="U122">
        <v>1.5</v>
      </c>
    </row>
    <row r="130" spans="1:21" ht="12.75">
      <c r="A130">
        <v>0.402857923358323</v>
      </c>
      <c r="B130">
        <v>0.402853259777069</v>
      </c>
      <c r="C130">
        <v>0.402848596303787</v>
      </c>
      <c r="D130">
        <v>0.402843932938473</v>
      </c>
      <c r="E130">
        <v>0.402839269681124</v>
      </c>
      <c r="F130">
        <v>0.402834606531736</v>
      </c>
      <c r="G130">
        <v>0.402829943490306</v>
      </c>
      <c r="H130">
        <v>0.402825280556829</v>
      </c>
      <c r="I130">
        <v>0.402820617731301</v>
      </c>
      <c r="J130">
        <v>0.40281595501372</v>
      </c>
      <c r="K130">
        <v>0.402811292404081</v>
      </c>
      <c r="L130">
        <v>0.40280662990238</v>
      </c>
      <c r="M130">
        <v>0.402801967508614</v>
      </c>
      <c r="N130">
        <v>0.40279730522278</v>
      </c>
      <c r="O130">
        <v>0.402792643044872</v>
      </c>
      <c r="P130">
        <v>0.402787980974888</v>
      </c>
      <c r="Q130">
        <v>0.402783319012824</v>
      </c>
      <c r="R130">
        <v>0.402778657158676</v>
      </c>
      <c r="S130">
        <v>0.40277399541244</v>
      </c>
      <c r="T130">
        <v>0.402769333774112</v>
      </c>
      <c r="U130">
        <v>0.40276467224369</v>
      </c>
    </row>
    <row r="131" spans="1:21" ht="12.75">
      <c r="A131">
        <v>216405441.9594</v>
      </c>
      <c r="B131">
        <v>216408650.559</v>
      </c>
      <c r="C131">
        <v>216411859.1585</v>
      </c>
      <c r="D131">
        <v>216415067.758</v>
      </c>
      <c r="E131">
        <v>216418276.3575</v>
      </c>
      <c r="F131">
        <v>216421484.9571</v>
      </c>
      <c r="G131">
        <v>216424693.5566</v>
      </c>
      <c r="H131">
        <v>216427902.1561</v>
      </c>
      <c r="I131">
        <v>216431110.7556</v>
      </c>
      <c r="J131">
        <v>216434319.3552</v>
      </c>
      <c r="K131">
        <v>216437527.9547</v>
      </c>
      <c r="L131">
        <v>216440736.5542</v>
      </c>
      <c r="M131">
        <v>216443945.1537</v>
      </c>
      <c r="N131">
        <v>216447153.7533</v>
      </c>
      <c r="O131">
        <v>216450362.3528</v>
      </c>
      <c r="P131">
        <v>216453570.9523</v>
      </c>
      <c r="Q131">
        <v>216456779.5519</v>
      </c>
      <c r="R131">
        <v>216459988.1514</v>
      </c>
      <c r="S131">
        <v>216463196.7509</v>
      </c>
      <c r="T131">
        <v>216466405.3504</v>
      </c>
      <c r="U131">
        <v>216469613.95</v>
      </c>
    </row>
    <row r="132" spans="1:21" ht="12.75">
      <c r="A132">
        <v>10000</v>
      </c>
      <c r="B132">
        <v>11000</v>
      </c>
      <c r="C132">
        <v>12000</v>
      </c>
      <c r="D132">
        <v>13000</v>
      </c>
      <c r="E132">
        <v>14000</v>
      </c>
      <c r="F132">
        <v>15000</v>
      </c>
      <c r="G132">
        <v>16000</v>
      </c>
      <c r="H132">
        <v>17000</v>
      </c>
      <c r="I132">
        <v>18000</v>
      </c>
      <c r="J132">
        <v>19000</v>
      </c>
      <c r="K132">
        <v>20000</v>
      </c>
      <c r="L132">
        <v>21000</v>
      </c>
      <c r="M132">
        <v>22000</v>
      </c>
      <c r="N132">
        <v>23000</v>
      </c>
      <c r="O132">
        <v>24000</v>
      </c>
      <c r="P132">
        <v>25000</v>
      </c>
      <c r="Q132">
        <v>26000</v>
      </c>
      <c r="R132">
        <v>27000</v>
      </c>
      <c r="S132">
        <v>28000</v>
      </c>
      <c r="T132">
        <v>29000</v>
      </c>
      <c r="U132">
        <v>30000</v>
      </c>
    </row>
    <row r="140" spans="1:21" ht="12.75">
      <c r="A140">
        <v>0.403712511385755</v>
      </c>
      <c r="B140">
        <v>0.40362220805956</v>
      </c>
      <c r="C140">
        <v>0.403531945122835</v>
      </c>
      <c r="D140">
        <v>0.403441722548488</v>
      </c>
      <c r="E140">
        <v>0.403351540309453</v>
      </c>
      <c r="F140">
        <v>0.403261398378686</v>
      </c>
      <c r="G140">
        <v>0.40317129672917</v>
      </c>
      <c r="H140">
        <v>0.403081235333909</v>
      </c>
      <c r="I140">
        <v>0.402991214165934</v>
      </c>
      <c r="J140">
        <v>0.402901233198299</v>
      </c>
      <c r="K140">
        <v>0.402811292404081</v>
      </c>
      <c r="L140">
        <v>0.402721391756382</v>
      </c>
      <c r="M140">
        <v>0.402631531228328</v>
      </c>
      <c r="N140">
        <v>0.40254171079307</v>
      </c>
      <c r="O140">
        <v>0.40245193042378</v>
      </c>
      <c r="P140">
        <v>0.402362190093657</v>
      </c>
      <c r="Q140">
        <v>0.402272489775923</v>
      </c>
      <c r="R140">
        <v>0.402182829443823</v>
      </c>
      <c r="S140">
        <v>0.402093209070626</v>
      </c>
      <c r="T140">
        <v>0.402003628629626</v>
      </c>
      <c r="U140">
        <v>0.401914088094139</v>
      </c>
    </row>
    <row r="141" spans="1:21" ht="12.75">
      <c r="A141">
        <v>215818726.6175</v>
      </c>
      <c r="B141">
        <v>215880606.7512</v>
      </c>
      <c r="C141">
        <v>215942486.8849</v>
      </c>
      <c r="D141">
        <v>216004367.0187</v>
      </c>
      <c r="E141">
        <v>216066247.1524</v>
      </c>
      <c r="F141">
        <v>216128127.2861</v>
      </c>
      <c r="G141">
        <v>216190007.4198</v>
      </c>
      <c r="H141">
        <v>216251887.5535</v>
      </c>
      <c r="I141">
        <v>216313767.6873</v>
      </c>
      <c r="J141">
        <v>216375647.821</v>
      </c>
      <c r="K141">
        <v>216437527.9547</v>
      </c>
      <c r="L141">
        <v>216499408.0884</v>
      </c>
      <c r="M141">
        <v>216561288.2221</v>
      </c>
      <c r="N141">
        <v>216623168.3559</v>
      </c>
      <c r="O141">
        <v>216685048.4896</v>
      </c>
      <c r="P141">
        <v>216746928.6233</v>
      </c>
      <c r="Q141">
        <v>216808808.757</v>
      </c>
      <c r="R141">
        <v>216870688.8907</v>
      </c>
      <c r="S141">
        <v>216932569.0244</v>
      </c>
      <c r="T141">
        <v>216994449.1582</v>
      </c>
      <c r="U141">
        <v>217056329.2919</v>
      </c>
    </row>
    <row r="142" spans="1:21" ht="12.75">
      <c r="A142">
        <v>1</v>
      </c>
      <c r="B142">
        <v>1.05</v>
      </c>
      <c r="C142">
        <v>1.1</v>
      </c>
      <c r="D142">
        <v>1.15</v>
      </c>
      <c r="E142">
        <v>1.2</v>
      </c>
      <c r="F142">
        <v>1.25</v>
      </c>
      <c r="G142">
        <v>1.3</v>
      </c>
      <c r="H142">
        <v>1.35</v>
      </c>
      <c r="I142">
        <v>1.4</v>
      </c>
      <c r="J142">
        <v>1.45</v>
      </c>
      <c r="K142">
        <v>1.5</v>
      </c>
      <c r="L142">
        <v>1.55</v>
      </c>
      <c r="M142">
        <v>1.6</v>
      </c>
      <c r="N142">
        <v>1.65</v>
      </c>
      <c r="O142">
        <v>1.7</v>
      </c>
      <c r="P142">
        <v>1.75</v>
      </c>
      <c r="Q142">
        <v>1.8</v>
      </c>
      <c r="R142">
        <v>1.85</v>
      </c>
      <c r="S142">
        <v>1.9</v>
      </c>
      <c r="T142">
        <v>1.95</v>
      </c>
      <c r="U142">
        <v>2</v>
      </c>
    </row>
    <row r="150" spans="1:21" ht="12.75">
      <c r="A150">
        <v>0.40443639527516</v>
      </c>
      <c r="B150">
        <v>0.404273295157301</v>
      </c>
      <c r="C150">
        <v>0.404110326535643</v>
      </c>
      <c r="D150">
        <v>0.403947489251228</v>
      </c>
      <c r="E150">
        <v>0.403784783145349</v>
      </c>
      <c r="F150">
        <v>0.40362220805956</v>
      </c>
      <c r="G150">
        <v>0.403459763835667</v>
      </c>
      <c r="H150">
        <v>0.40329745031573</v>
      </c>
      <c r="I150">
        <v>0.403135267342066</v>
      </c>
      <c r="J150">
        <v>0.402973214757242</v>
      </c>
      <c r="K150">
        <v>0.402811292404081</v>
      </c>
      <c r="L150">
        <v>0.402649500125657</v>
      </c>
      <c r="M150">
        <v>0.402487837765296</v>
      </c>
      <c r="N150">
        <v>0.402326305166576</v>
      </c>
      <c r="O150">
        <v>0.402164902173326</v>
      </c>
      <c r="P150">
        <v>0.402003628629626</v>
      </c>
      <c r="Q150">
        <v>0.401842484379804</v>
      </c>
      <c r="R150">
        <v>0.40168146926844</v>
      </c>
      <c r="S150">
        <v>0.401520583140362</v>
      </c>
      <c r="T150">
        <v>0.401359825840645</v>
      </c>
      <c r="U150">
        <v>0.401199197214615</v>
      </c>
    </row>
    <row r="151" spans="1:21" ht="12.75">
      <c r="A151">
        <v>215323685.5478</v>
      </c>
      <c r="B151">
        <v>215435069.7885</v>
      </c>
      <c r="C151">
        <v>215546454.0291</v>
      </c>
      <c r="D151">
        <v>215657838.2698</v>
      </c>
      <c r="E151">
        <v>215769222.5105</v>
      </c>
      <c r="F151">
        <v>215880606.7512</v>
      </c>
      <c r="G151">
        <v>215991990.9919</v>
      </c>
      <c r="H151">
        <v>216103375.2326</v>
      </c>
      <c r="I151">
        <v>216214759.4733</v>
      </c>
      <c r="J151">
        <v>216326143.714</v>
      </c>
      <c r="K151">
        <v>216437527.9547</v>
      </c>
      <c r="L151">
        <v>216548912.1954</v>
      </c>
      <c r="M151">
        <v>216660296.4361</v>
      </c>
      <c r="N151">
        <v>216771680.6768</v>
      </c>
      <c r="O151">
        <v>216883064.9175</v>
      </c>
      <c r="P151">
        <v>216994449.1582</v>
      </c>
      <c r="Q151">
        <v>217105833.3989</v>
      </c>
      <c r="R151">
        <v>217217217.6396</v>
      </c>
      <c r="S151">
        <v>217328601.8802</v>
      </c>
      <c r="T151">
        <v>217439986.1209</v>
      </c>
      <c r="U151">
        <v>217551370.3616</v>
      </c>
    </row>
    <row r="152" spans="1:21" ht="12.75">
      <c r="A152">
        <v>10</v>
      </c>
      <c r="B152">
        <v>11.5</v>
      </c>
      <c r="C152">
        <v>13</v>
      </c>
      <c r="D152">
        <v>14.5</v>
      </c>
      <c r="E152">
        <v>16</v>
      </c>
      <c r="F152">
        <v>17.5</v>
      </c>
      <c r="G152">
        <v>19</v>
      </c>
      <c r="H152">
        <v>20.5</v>
      </c>
      <c r="I152">
        <v>22</v>
      </c>
      <c r="J152">
        <v>23.5</v>
      </c>
      <c r="K152">
        <v>25</v>
      </c>
      <c r="L152">
        <v>26.5</v>
      </c>
      <c r="M152">
        <v>28</v>
      </c>
      <c r="N152">
        <v>29.5</v>
      </c>
      <c r="O152">
        <v>31</v>
      </c>
      <c r="P152">
        <v>32.5</v>
      </c>
      <c r="Q152">
        <v>34</v>
      </c>
      <c r="R152">
        <v>35.5</v>
      </c>
      <c r="S152">
        <v>37</v>
      </c>
      <c r="T152">
        <v>38.5</v>
      </c>
      <c r="U152">
        <v>40</v>
      </c>
    </row>
    <row r="160" spans="1:21" ht="12.75">
      <c r="A160">
        <v>0.40413510028063</v>
      </c>
      <c r="B160">
        <v>0.404002328068399</v>
      </c>
      <c r="C160">
        <v>0.403869643067948</v>
      </c>
      <c r="D160">
        <v>0.403737045193377</v>
      </c>
      <c r="E160">
        <v>0.403604534358899</v>
      </c>
      <c r="F160">
        <v>0.40347211047884</v>
      </c>
      <c r="G160">
        <v>0.403339773467637</v>
      </c>
      <c r="H160">
        <v>0.403207523239842</v>
      </c>
      <c r="I160">
        <v>0.403075359710116</v>
      </c>
      <c r="J160">
        <v>0.402943282793234</v>
      </c>
      <c r="K160">
        <v>0.402811292404081</v>
      </c>
      <c r="L160">
        <v>0.402679388457655</v>
      </c>
      <c r="M160">
        <v>0.402547570869063</v>
      </c>
      <c r="N160">
        <v>0.402415839553527</v>
      </c>
      <c r="O160">
        <v>0.402284194426377</v>
      </c>
      <c r="P160">
        <v>0.402152635403053</v>
      </c>
      <c r="Q160">
        <v>0.402021162399109</v>
      </c>
      <c r="R160">
        <v>0.401889775330206</v>
      </c>
      <c r="S160">
        <v>0.401758474112117</v>
      </c>
      <c r="T160">
        <v>0.401627258660725</v>
      </c>
      <c r="U160">
        <v>0.401496128892022</v>
      </c>
    </row>
    <row r="161" spans="1:21" ht="12.75">
      <c r="A161">
        <v>215529516.116</v>
      </c>
      <c r="B161">
        <v>215620317.2999</v>
      </c>
      <c r="C161">
        <v>215711118.4837</v>
      </c>
      <c r="D161">
        <v>215801919.6676</v>
      </c>
      <c r="E161">
        <v>215892720.8515</v>
      </c>
      <c r="F161">
        <v>215983522.0353</v>
      </c>
      <c r="G161">
        <v>216074323.2192</v>
      </c>
      <c r="H161">
        <v>216165124.4031</v>
      </c>
      <c r="I161">
        <v>216255925.587</v>
      </c>
      <c r="J161">
        <v>216346726.7708</v>
      </c>
      <c r="K161">
        <v>216437527.9547</v>
      </c>
      <c r="L161">
        <v>216528329.1386</v>
      </c>
      <c r="M161">
        <v>216619130.3224</v>
      </c>
      <c r="N161">
        <v>216709931.5063</v>
      </c>
      <c r="O161">
        <v>216800732.6902</v>
      </c>
      <c r="P161">
        <v>216891533.874</v>
      </c>
      <c r="Q161">
        <v>216982335.0579</v>
      </c>
      <c r="R161">
        <v>217073136.2418</v>
      </c>
      <c r="S161">
        <v>217163937.4257</v>
      </c>
      <c r="T161">
        <v>217254738.6095</v>
      </c>
      <c r="U161">
        <v>217345539.7934</v>
      </c>
    </row>
    <row r="162" spans="1:21" ht="12.75">
      <c r="A162">
        <v>0.3</v>
      </c>
      <c r="B162">
        <v>0.32</v>
      </c>
      <c r="C162">
        <v>0.34</v>
      </c>
      <c r="D162">
        <v>0.36</v>
      </c>
      <c r="E162">
        <v>0.38</v>
      </c>
      <c r="F162">
        <v>0.4</v>
      </c>
      <c r="G162">
        <v>0.42</v>
      </c>
      <c r="H162">
        <v>0.44</v>
      </c>
      <c r="I162">
        <v>0.46</v>
      </c>
      <c r="J162">
        <v>0.48</v>
      </c>
      <c r="K162">
        <v>0.5</v>
      </c>
      <c r="L162">
        <v>0.52</v>
      </c>
      <c r="M162">
        <v>0.54</v>
      </c>
      <c r="N162">
        <v>0.56</v>
      </c>
      <c r="O162">
        <v>0.58</v>
      </c>
      <c r="P162">
        <v>0.6</v>
      </c>
      <c r="Q162">
        <v>0.62</v>
      </c>
      <c r="R162">
        <v>0.64</v>
      </c>
      <c r="S162">
        <v>0.66</v>
      </c>
      <c r="T162">
        <v>0.68</v>
      </c>
      <c r="U162">
        <v>0.7</v>
      </c>
    </row>
    <row r="170" spans="1:21" ht="12.75">
      <c r="A170">
        <v>0.406072729864975</v>
      </c>
      <c r="B170">
        <v>0.405744211425785</v>
      </c>
      <c r="C170">
        <v>0.405416224108808</v>
      </c>
      <c r="D170">
        <v>0.405088766627068</v>
      </c>
      <c r="E170">
        <v>0.404761837697748</v>
      </c>
      <c r="F170">
        <v>0.404435436042167</v>
      </c>
      <c r="G170">
        <v>0.404109560385766</v>
      </c>
      <c r="H170">
        <v>0.403784209458089</v>
      </c>
      <c r="I170">
        <v>0.40345938199277</v>
      </c>
      <c r="J170">
        <v>0.403135076727514</v>
      </c>
      <c r="K170">
        <v>0.402811292404081</v>
      </c>
      <c r="L170">
        <v>0.40248802776827</v>
      </c>
      <c r="M170">
        <v>0.402165281569904</v>
      </c>
      <c r="N170">
        <v>0.401843052562811</v>
      </c>
      <c r="O170">
        <v>0.401521339504811</v>
      </c>
      <c r="P170">
        <v>0.401200141157698</v>
      </c>
      <c r="Q170">
        <v>0.400879456287226</v>
      </c>
      <c r="R170">
        <v>0.400559283663091</v>
      </c>
      <c r="S170">
        <v>0.400239622058917</v>
      </c>
      <c r="T170">
        <v>0.399920470252237</v>
      </c>
      <c r="U170">
        <v>0.399601827024485</v>
      </c>
    </row>
    <row r="171" spans="1:21" ht="12.75">
      <c r="A171">
        <v>214211152.7733</v>
      </c>
      <c r="B171">
        <v>214433790.2914</v>
      </c>
      <c r="C171">
        <v>214656427.8096</v>
      </c>
      <c r="D171">
        <v>214879065.3277</v>
      </c>
      <c r="E171">
        <v>215101702.8458</v>
      </c>
      <c r="F171">
        <v>215324340.364</v>
      </c>
      <c r="G171">
        <v>215546977.8821</v>
      </c>
      <c r="H171">
        <v>215769615.4003</v>
      </c>
      <c r="I171">
        <v>215992252.9184</v>
      </c>
      <c r="J171">
        <v>216214890.4366</v>
      </c>
      <c r="K171">
        <v>216437527.9547</v>
      </c>
      <c r="L171">
        <v>216660165.4728</v>
      </c>
      <c r="M171">
        <v>216882802.991</v>
      </c>
      <c r="N171">
        <v>217105440.5091</v>
      </c>
      <c r="O171">
        <v>217328078.0273</v>
      </c>
      <c r="P171">
        <v>217550715.5454</v>
      </c>
      <c r="Q171">
        <v>217773353.0635</v>
      </c>
      <c r="R171">
        <v>217995990.5817</v>
      </c>
      <c r="S171">
        <v>218218628.0998</v>
      </c>
      <c r="T171">
        <v>218441265.618</v>
      </c>
      <c r="U171">
        <v>218663903.1361</v>
      </c>
    </row>
    <row r="172" spans="1:21" ht="12.75">
      <c r="A172">
        <v>1</v>
      </c>
      <c r="B172">
        <v>1.1</v>
      </c>
      <c r="C172">
        <v>1.2</v>
      </c>
      <c r="D172">
        <v>1.3</v>
      </c>
      <c r="E172">
        <v>1.4</v>
      </c>
      <c r="F172">
        <v>1.5</v>
      </c>
      <c r="G172">
        <v>1.6</v>
      </c>
      <c r="H172">
        <v>1.7</v>
      </c>
      <c r="I172">
        <v>1.8</v>
      </c>
      <c r="J172">
        <v>1.9</v>
      </c>
      <c r="K172">
        <v>2</v>
      </c>
      <c r="L172">
        <v>2.1</v>
      </c>
      <c r="M172">
        <v>2.2</v>
      </c>
      <c r="N172">
        <v>2.3</v>
      </c>
      <c r="O172">
        <v>2.4</v>
      </c>
      <c r="P172">
        <v>2.5</v>
      </c>
      <c r="Q172">
        <v>2.6</v>
      </c>
      <c r="R172">
        <v>2.7</v>
      </c>
      <c r="S172">
        <v>2.8</v>
      </c>
      <c r="T172">
        <v>2.9</v>
      </c>
      <c r="U172">
        <v>3</v>
      </c>
    </row>
    <row r="180" spans="1:21" ht="12.75">
      <c r="A180">
        <v>0.402811292404081</v>
      </c>
      <c r="B180">
        <v>0.402811292404081</v>
      </c>
      <c r="C180">
        <v>0.402811292404081</v>
      </c>
      <c r="D180">
        <v>0.402811292404081</v>
      </c>
      <c r="E180">
        <v>0.402811292404081</v>
      </c>
      <c r="F180">
        <v>0.402811292404081</v>
      </c>
      <c r="G180">
        <v>0.402811292404081</v>
      </c>
      <c r="H180">
        <v>0.402811292404081</v>
      </c>
      <c r="I180">
        <v>0.402811292404081</v>
      </c>
      <c r="J180">
        <v>0.402811292404081</v>
      </c>
      <c r="K180">
        <v>0.402811292404081</v>
      </c>
      <c r="L180">
        <v>0.402811292404081</v>
      </c>
      <c r="M180">
        <v>0.402811292404081</v>
      </c>
      <c r="N180">
        <v>0.402811292404081</v>
      </c>
      <c r="O180">
        <v>0.402811292404081</v>
      </c>
      <c r="P180">
        <v>0.402811292404081</v>
      </c>
      <c r="Q180">
        <v>0.402811292404081</v>
      </c>
      <c r="R180">
        <v>0.402811292404081</v>
      </c>
      <c r="S180">
        <v>0.402811292404081</v>
      </c>
      <c r="T180">
        <v>0.402811292404081</v>
      </c>
      <c r="U180">
        <v>0.402811292404081</v>
      </c>
    </row>
    <row r="181" spans="1:21" ht="12.75">
      <c r="A181">
        <v>216437527.9547</v>
      </c>
      <c r="B181">
        <v>216437527.9547</v>
      </c>
      <c r="C181">
        <v>216437527.9547</v>
      </c>
      <c r="D181">
        <v>216437527.9547</v>
      </c>
      <c r="E181">
        <v>216437527.9547</v>
      </c>
      <c r="F181">
        <v>216437527.9547</v>
      </c>
      <c r="G181">
        <v>216437527.9547</v>
      </c>
      <c r="H181">
        <v>216437527.9547</v>
      </c>
      <c r="I181">
        <v>216437527.9547</v>
      </c>
      <c r="J181">
        <v>216437527.9547</v>
      </c>
      <c r="K181">
        <v>216437527.9547</v>
      </c>
      <c r="L181">
        <v>216437527.9547</v>
      </c>
      <c r="M181">
        <v>216437527.9547</v>
      </c>
      <c r="N181">
        <v>216437527.9547</v>
      </c>
      <c r="O181">
        <v>216437527.9547</v>
      </c>
      <c r="P181">
        <v>216437527.9547</v>
      </c>
      <c r="Q181">
        <v>216437527.9547</v>
      </c>
      <c r="R181">
        <v>216437527.9547</v>
      </c>
      <c r="S181">
        <v>216437527.9547</v>
      </c>
      <c r="T181">
        <v>216437527.9547</v>
      </c>
      <c r="U181">
        <v>216437527.9547</v>
      </c>
    </row>
    <row r="182" spans="1:21" ht="12.75">
      <c r="A182">
        <v>50000</v>
      </c>
      <c r="B182">
        <v>55000</v>
      </c>
      <c r="C182">
        <v>60000</v>
      </c>
      <c r="D182">
        <v>65000</v>
      </c>
      <c r="E182">
        <v>70000</v>
      </c>
      <c r="F182">
        <v>75000</v>
      </c>
      <c r="G182">
        <v>80000</v>
      </c>
      <c r="H182">
        <v>85000</v>
      </c>
      <c r="I182">
        <v>90000</v>
      </c>
      <c r="J182">
        <v>95000</v>
      </c>
      <c r="K182">
        <v>100000</v>
      </c>
      <c r="L182">
        <v>105000</v>
      </c>
      <c r="M182">
        <v>110000</v>
      </c>
      <c r="N182">
        <v>115000</v>
      </c>
      <c r="O182">
        <v>120000</v>
      </c>
      <c r="P182">
        <v>125000</v>
      </c>
      <c r="Q182">
        <v>130000</v>
      </c>
      <c r="R182">
        <v>135000</v>
      </c>
      <c r="S182">
        <v>140000</v>
      </c>
      <c r="T182">
        <v>145000</v>
      </c>
      <c r="U182">
        <v>150000</v>
      </c>
    </row>
    <row r="190" spans="1:21" ht="12.75">
      <c r="A190">
        <v>0.402944552351453</v>
      </c>
      <c r="B190">
        <v>0.402931222389135</v>
      </c>
      <c r="C190">
        <v>0.402917893308735</v>
      </c>
      <c r="D190">
        <v>0.402904565110166</v>
      </c>
      <c r="E190">
        <v>0.402891237793339</v>
      </c>
      <c r="F190">
        <v>0.402877911358168</v>
      </c>
      <c r="G190">
        <v>0.402864585804564</v>
      </c>
      <c r="H190">
        <v>0.402851261132441</v>
      </c>
      <c r="I190">
        <v>0.402837937341711</v>
      </c>
      <c r="J190">
        <v>0.402824614432287</v>
      </c>
      <c r="K190">
        <v>0.402811292404081</v>
      </c>
      <c r="L190">
        <v>0.402797971257005</v>
      </c>
      <c r="M190">
        <v>0.402784650990973</v>
      </c>
      <c r="N190">
        <v>0.402771331605897</v>
      </c>
      <c r="O190">
        <v>0.402758013101689</v>
      </c>
      <c r="P190">
        <v>0.402744695478262</v>
      </c>
      <c r="Q190">
        <v>0.402731378735529</v>
      </c>
      <c r="R190">
        <v>0.402718062873402</v>
      </c>
      <c r="S190">
        <v>0.402704747891795</v>
      </c>
      <c r="T190">
        <v>0.402691433790619</v>
      </c>
      <c r="U190">
        <v>0.402678120569787</v>
      </c>
    </row>
    <row r="191" spans="1:21" ht="12.75">
      <c r="A191">
        <v>216345853.6825</v>
      </c>
      <c r="B191">
        <v>216355021.1097</v>
      </c>
      <c r="C191">
        <v>216364188.537</v>
      </c>
      <c r="D191">
        <v>216373355.9642</v>
      </c>
      <c r="E191">
        <v>216382523.3914</v>
      </c>
      <c r="F191">
        <v>216391690.8186</v>
      </c>
      <c r="G191">
        <v>216400858.2458</v>
      </c>
      <c r="H191">
        <v>216410025.673</v>
      </c>
      <c r="I191">
        <v>216419193.1003</v>
      </c>
      <c r="J191">
        <v>216428360.5275</v>
      </c>
      <c r="K191">
        <v>216437527.9547</v>
      </c>
      <c r="L191">
        <v>216446695.3819</v>
      </c>
      <c r="M191">
        <v>216455862.8091</v>
      </c>
      <c r="N191">
        <v>216465030.2363</v>
      </c>
      <c r="O191">
        <v>216474197.6636</v>
      </c>
      <c r="P191">
        <v>216483365.0908</v>
      </c>
      <c r="Q191">
        <v>216492532.518</v>
      </c>
      <c r="R191">
        <v>216501699.9452</v>
      </c>
      <c r="S191">
        <v>216510867.3724</v>
      </c>
      <c r="T191">
        <v>216520034.7997</v>
      </c>
      <c r="U191">
        <v>216529202.2269</v>
      </c>
    </row>
    <row r="192" spans="1:21" ht="12.75">
      <c r="A192">
        <v>25000</v>
      </c>
      <c r="B192">
        <v>27500</v>
      </c>
      <c r="C192">
        <v>30000</v>
      </c>
      <c r="D192">
        <v>32500</v>
      </c>
      <c r="E192">
        <v>35000</v>
      </c>
      <c r="F192">
        <v>37500</v>
      </c>
      <c r="G192">
        <v>40000</v>
      </c>
      <c r="H192">
        <v>42500</v>
      </c>
      <c r="I192">
        <v>45000</v>
      </c>
      <c r="J192">
        <v>47500</v>
      </c>
      <c r="K192">
        <v>50000</v>
      </c>
      <c r="L192">
        <v>52500</v>
      </c>
      <c r="M192">
        <v>55000</v>
      </c>
      <c r="N192">
        <v>57500</v>
      </c>
      <c r="O192">
        <v>60000</v>
      </c>
      <c r="P192">
        <v>62500</v>
      </c>
      <c r="Q192">
        <v>65000</v>
      </c>
      <c r="R192">
        <v>67500</v>
      </c>
      <c r="S192">
        <v>70000</v>
      </c>
      <c r="T192">
        <v>72500</v>
      </c>
      <c r="U192">
        <v>75000</v>
      </c>
    </row>
    <row r="200" spans="1:21" ht="12.75">
      <c r="A200">
        <v>0.402837937341711</v>
      </c>
      <c r="B200">
        <v>0.402835272689325</v>
      </c>
      <c r="C200">
        <v>0.40283260807219</v>
      </c>
      <c r="D200">
        <v>0.402829943490306</v>
      </c>
      <c r="E200">
        <v>0.402827278943672</v>
      </c>
      <c r="F200">
        <v>0.402824614432287</v>
      </c>
      <c r="G200">
        <v>0.402821949956151</v>
      </c>
      <c r="H200">
        <v>0.402819285515263</v>
      </c>
      <c r="I200">
        <v>0.402816621109623</v>
      </c>
      <c r="J200">
        <v>0.402813956739229</v>
      </c>
      <c r="K200">
        <v>0.402811292404081</v>
      </c>
      <c r="L200">
        <v>0.402808628104178</v>
      </c>
      <c r="M200">
        <v>0.40280596383952</v>
      </c>
      <c r="N200">
        <v>0.402803299610105</v>
      </c>
      <c r="O200">
        <v>0.402800635415934</v>
      </c>
      <c r="P200">
        <v>0.402797971257005</v>
      </c>
      <c r="Q200">
        <v>0.402795307133318</v>
      </c>
      <c r="R200">
        <v>0.402792643044872</v>
      </c>
      <c r="S200">
        <v>0.402789978991666</v>
      </c>
      <c r="T200">
        <v>0.4027873149737</v>
      </c>
      <c r="U200">
        <v>0.402784650990973</v>
      </c>
    </row>
    <row r="201" spans="1:21" ht="12.75">
      <c r="A201">
        <v>216419193.1003</v>
      </c>
      <c r="B201">
        <v>216421026.5857</v>
      </c>
      <c r="C201">
        <v>216422860.0711</v>
      </c>
      <c r="D201">
        <v>216424693.5566</v>
      </c>
      <c r="E201">
        <v>216426527.042</v>
      </c>
      <c r="F201">
        <v>216428360.5275</v>
      </c>
      <c r="G201">
        <v>216430194.0129</v>
      </c>
      <c r="H201">
        <v>216432027.4984</v>
      </c>
      <c r="I201">
        <v>216433860.9838</v>
      </c>
      <c r="J201">
        <v>216435694.4693</v>
      </c>
      <c r="K201">
        <v>216437527.9547</v>
      </c>
      <c r="L201">
        <v>216439361.4401</v>
      </c>
      <c r="M201">
        <v>216441194.9256</v>
      </c>
      <c r="N201">
        <v>216443028.411</v>
      </c>
      <c r="O201">
        <v>216444861.8965</v>
      </c>
      <c r="P201">
        <v>216446695.3819</v>
      </c>
      <c r="Q201">
        <v>216448528.8674</v>
      </c>
      <c r="R201">
        <v>216450362.3528</v>
      </c>
      <c r="S201">
        <v>216452195.8382</v>
      </c>
      <c r="T201">
        <v>216454029.3237</v>
      </c>
      <c r="U201">
        <v>216455862.8091</v>
      </c>
    </row>
    <row r="202" spans="1:21" ht="12.75">
      <c r="A202">
        <v>10000</v>
      </c>
      <c r="B202">
        <v>10500</v>
      </c>
      <c r="C202">
        <v>11000</v>
      </c>
      <c r="D202">
        <v>11500</v>
      </c>
      <c r="E202">
        <v>12000</v>
      </c>
      <c r="F202">
        <v>12500</v>
      </c>
      <c r="G202">
        <v>13000</v>
      </c>
      <c r="H202">
        <v>13500</v>
      </c>
      <c r="I202">
        <v>14000</v>
      </c>
      <c r="J202">
        <v>14500</v>
      </c>
      <c r="K202">
        <v>15000</v>
      </c>
      <c r="L202">
        <v>15500</v>
      </c>
      <c r="M202">
        <v>16000</v>
      </c>
      <c r="N202">
        <v>16500</v>
      </c>
      <c r="O202">
        <v>17000</v>
      </c>
      <c r="P202">
        <v>17500</v>
      </c>
      <c r="Q202">
        <v>18000</v>
      </c>
      <c r="R202">
        <v>18500</v>
      </c>
      <c r="S202">
        <v>19000</v>
      </c>
      <c r="T202">
        <v>19500</v>
      </c>
      <c r="U202">
        <v>20000</v>
      </c>
    </row>
    <row r="210" spans="1:21" ht="12.75">
      <c r="A210">
        <v>0.520568793283261</v>
      </c>
      <c r="B210">
        <v>0.505782783627904</v>
      </c>
      <c r="C210">
        <v>0.491813526079106</v>
      </c>
      <c r="D210">
        <v>0.478595165654339</v>
      </c>
      <c r="E210">
        <v>0.466068741944811</v>
      </c>
      <c r="F210">
        <v>0.454181309859145</v>
      </c>
      <c r="G210">
        <v>0.442885191577</v>
      </c>
      <c r="H210">
        <v>0.432137337423382</v>
      </c>
      <c r="I210">
        <v>0.421898777599154</v>
      </c>
      <c r="J210">
        <v>0.41213415004803</v>
      </c>
      <c r="K210">
        <v>0.402811292404081</v>
      </c>
      <c r="L210">
        <v>0.393900888097308</v>
      </c>
      <c r="M210">
        <v>0.38537615841271</v>
      </c>
      <c r="N210">
        <v>0.377212593688713</v>
      </c>
      <c r="O210">
        <v>0.369387717971618</v>
      </c>
      <c r="P210">
        <v>0.361880882366736</v>
      </c>
      <c r="Q210">
        <v>0.354673083085218</v>
      </c>
      <c r="R210">
        <v>0.347746800810673</v>
      </c>
      <c r="S210">
        <v>0.341085858526971</v>
      </c>
      <c r="T210">
        <v>0.33467529537844</v>
      </c>
      <c r="U210">
        <v>0.328501254492112</v>
      </c>
    </row>
    <row r="211" spans="1:21" ht="12.75">
      <c r="A211">
        <v>153732325.7863</v>
      </c>
      <c r="B211">
        <v>160002846.0032</v>
      </c>
      <c r="C211">
        <v>166273366.22</v>
      </c>
      <c r="D211">
        <v>172543886.4368</v>
      </c>
      <c r="E211">
        <v>178814406.6537</v>
      </c>
      <c r="F211">
        <v>185084926.8705</v>
      </c>
      <c r="G211">
        <v>191355447.0873</v>
      </c>
      <c r="H211">
        <v>197625967.3042</v>
      </c>
      <c r="I211">
        <v>203896487.521</v>
      </c>
      <c r="J211">
        <v>210167007.7379</v>
      </c>
      <c r="K211">
        <v>216437527.9547</v>
      </c>
      <c r="L211">
        <v>222708048.1715</v>
      </c>
      <c r="M211">
        <v>228978568.3884</v>
      </c>
      <c r="N211">
        <v>235249088.6052</v>
      </c>
      <c r="O211">
        <v>241519608.822</v>
      </c>
      <c r="P211">
        <v>247790129.0389</v>
      </c>
      <c r="Q211">
        <v>254060649.2557</v>
      </c>
      <c r="R211">
        <v>260331169.4726</v>
      </c>
      <c r="S211">
        <v>266601689.6894</v>
      </c>
      <c r="T211">
        <v>272872209.9062</v>
      </c>
      <c r="U211">
        <v>279142730.1231</v>
      </c>
    </row>
    <row r="212" spans="1:21" ht="12.75">
      <c r="A212">
        <v>1</v>
      </c>
      <c r="B212">
        <v>1.1</v>
      </c>
      <c r="C212">
        <v>1.2</v>
      </c>
      <c r="D212">
        <v>1.3</v>
      </c>
      <c r="E212">
        <v>1.4</v>
      </c>
      <c r="F212">
        <v>1.5</v>
      </c>
      <c r="G212">
        <v>1.6</v>
      </c>
      <c r="H212">
        <v>1.7</v>
      </c>
      <c r="I212">
        <v>1.8</v>
      </c>
      <c r="J212">
        <v>1.9</v>
      </c>
      <c r="K212">
        <v>2</v>
      </c>
      <c r="L212">
        <v>2.1</v>
      </c>
      <c r="M212">
        <v>2.2</v>
      </c>
      <c r="N212">
        <v>2.3</v>
      </c>
      <c r="O212">
        <v>2.4</v>
      </c>
      <c r="P212">
        <v>2.5</v>
      </c>
      <c r="Q212">
        <v>2.6</v>
      </c>
      <c r="R212">
        <v>2.7</v>
      </c>
      <c r="S212">
        <v>2.8</v>
      </c>
      <c r="T212">
        <v>2.9</v>
      </c>
      <c r="U212">
        <v>3</v>
      </c>
    </row>
    <row r="220" spans="1:21" ht="12.75">
      <c r="A220">
        <v>0.409033886450182</v>
      </c>
      <c r="B220">
        <v>0.408402989040914</v>
      </c>
      <c r="C220">
        <v>0.407774034837685</v>
      </c>
      <c r="D220">
        <v>0.407147014876495</v>
      </c>
      <c r="E220">
        <v>0.406521920248391</v>
      </c>
      <c r="F220">
        <v>0.40589874209905</v>
      </c>
      <c r="G220">
        <v>0.405277471628359</v>
      </c>
      <c r="H220">
        <v>0.404658100090001</v>
      </c>
      <c r="I220">
        <v>0.404040618791042</v>
      </c>
      <c r="J220">
        <v>0.403425019091528</v>
      </c>
      <c r="K220">
        <v>0.402811292404081</v>
      </c>
      <c r="L220">
        <v>0.402199430193498</v>
      </c>
      <c r="M220">
        <v>0.401589423976358</v>
      </c>
      <c r="N220">
        <v>0.400981265320626</v>
      </c>
      <c r="O220">
        <v>0.40037494584527</v>
      </c>
      <c r="P220">
        <v>0.399770457219871</v>
      </c>
      <c r="Q220">
        <v>0.399167791164245</v>
      </c>
      <c r="R220">
        <v>0.39856693944806</v>
      </c>
      <c r="S220">
        <v>0.397967893890469</v>
      </c>
      <c r="T220">
        <v>0.397370646359732</v>
      </c>
      <c r="U220">
        <v>0.39677518877285</v>
      </c>
    </row>
    <row r="221" spans="1:21" ht="12.75">
      <c r="A221">
        <v>215087482.3216</v>
      </c>
      <c r="B221">
        <v>215222486.8849</v>
      </c>
      <c r="C221">
        <v>215357491.4483</v>
      </c>
      <c r="D221">
        <v>215492496.0116</v>
      </c>
      <c r="E221">
        <v>215627500.5749</v>
      </c>
      <c r="F221">
        <v>215762505.1382</v>
      </c>
      <c r="G221">
        <v>215897509.7015</v>
      </c>
      <c r="H221">
        <v>216032514.2648</v>
      </c>
      <c r="I221">
        <v>216167518.8281</v>
      </c>
      <c r="J221">
        <v>216302523.3914</v>
      </c>
      <c r="K221">
        <v>216437527.9547</v>
      </c>
      <c r="L221">
        <v>216572532.518</v>
      </c>
      <c r="M221">
        <v>216707537.0813</v>
      </c>
      <c r="N221">
        <v>216842541.6446</v>
      </c>
      <c r="O221">
        <v>216977546.2079</v>
      </c>
      <c r="P221">
        <v>217112550.7712</v>
      </c>
      <c r="Q221">
        <v>217247555.3345</v>
      </c>
      <c r="R221">
        <v>217382559.8978</v>
      </c>
      <c r="S221">
        <v>217517564.4611</v>
      </c>
      <c r="T221">
        <v>217652569.0244</v>
      </c>
      <c r="U221">
        <v>217787573.5878</v>
      </c>
    </row>
    <row r="222" spans="1:21" ht="12.75">
      <c r="A222">
        <v>3</v>
      </c>
      <c r="B222">
        <v>3.2</v>
      </c>
      <c r="C222">
        <v>3.4</v>
      </c>
      <c r="D222">
        <v>3.6</v>
      </c>
      <c r="E222">
        <v>3.8</v>
      </c>
      <c r="F222">
        <v>4</v>
      </c>
      <c r="G222">
        <v>4.2</v>
      </c>
      <c r="H222">
        <v>4.4</v>
      </c>
      <c r="I222">
        <v>4.6</v>
      </c>
      <c r="J222">
        <v>4.8</v>
      </c>
      <c r="K222">
        <v>5</v>
      </c>
      <c r="L222">
        <v>5.2</v>
      </c>
      <c r="M222">
        <v>5.4</v>
      </c>
      <c r="N222">
        <v>5.6</v>
      </c>
      <c r="O222">
        <v>5.8</v>
      </c>
      <c r="P222">
        <v>6</v>
      </c>
      <c r="Q222">
        <v>6.2</v>
      </c>
      <c r="R222">
        <v>6.4</v>
      </c>
      <c r="S222">
        <v>6.6</v>
      </c>
      <c r="T222">
        <v>6.8</v>
      </c>
      <c r="U222">
        <v>7</v>
      </c>
    </row>
    <row r="240" spans="1:21" ht="12.75">
      <c r="A240">
        <v>0.402944552351453</v>
      </c>
      <c r="B240">
        <v>0.402931222389135</v>
      </c>
      <c r="C240">
        <v>0.402917893308735</v>
      </c>
      <c r="D240">
        <v>0.402904565110166</v>
      </c>
      <c r="E240">
        <v>0.402891237793339</v>
      </c>
      <c r="F240">
        <v>0.402877911358168</v>
      </c>
      <c r="G240">
        <v>0.402864585804564</v>
      </c>
      <c r="H240">
        <v>0.402851261132441</v>
      </c>
      <c r="I240">
        <v>0.402837937341711</v>
      </c>
      <c r="J240">
        <v>0.402824614432287</v>
      </c>
      <c r="K240">
        <v>0.402811292404081</v>
      </c>
      <c r="L240">
        <v>0.402797971257005</v>
      </c>
      <c r="M240">
        <v>0.402784650990973</v>
      </c>
      <c r="N240">
        <v>0.402771331605897</v>
      </c>
      <c r="O240">
        <v>0.402758013101689</v>
      </c>
      <c r="P240">
        <v>0.402744695478262</v>
      </c>
      <c r="Q240">
        <v>0.402731378735529</v>
      </c>
      <c r="R240">
        <v>0.402718062873402</v>
      </c>
      <c r="S240">
        <v>0.402704747891795</v>
      </c>
      <c r="T240">
        <v>0.402691433790619</v>
      </c>
      <c r="U240">
        <v>0.402678120569787</v>
      </c>
    </row>
    <row r="241" spans="1:21" ht="12.75">
      <c r="A241">
        <v>216345853.6825</v>
      </c>
      <c r="B241">
        <v>216355021.1097</v>
      </c>
      <c r="C241">
        <v>216364188.537</v>
      </c>
      <c r="D241">
        <v>216373355.9642</v>
      </c>
      <c r="E241">
        <v>216382523.3914</v>
      </c>
      <c r="F241">
        <v>216391690.8186</v>
      </c>
      <c r="G241">
        <v>216400858.2458</v>
      </c>
      <c r="H241">
        <v>216410025.673</v>
      </c>
      <c r="I241">
        <v>216419193.1003</v>
      </c>
      <c r="J241">
        <v>216428360.5275</v>
      </c>
      <c r="K241">
        <v>216437527.9547</v>
      </c>
      <c r="L241">
        <v>216446695.3819</v>
      </c>
      <c r="M241">
        <v>216455862.8091</v>
      </c>
      <c r="N241">
        <v>216465030.2363</v>
      </c>
      <c r="O241">
        <v>216474197.6636</v>
      </c>
      <c r="P241">
        <v>216483365.0908</v>
      </c>
      <c r="Q241">
        <v>216492532.518</v>
      </c>
      <c r="R241">
        <v>216501699.9452</v>
      </c>
      <c r="S241">
        <v>216510867.3724</v>
      </c>
      <c r="T241">
        <v>216520034.7997</v>
      </c>
      <c r="U241">
        <v>216529202.2269</v>
      </c>
    </row>
    <row r="242" spans="1:21" ht="12.75">
      <c r="A242">
        <v>20</v>
      </c>
      <c r="B242">
        <v>22</v>
      </c>
      <c r="C242">
        <v>24</v>
      </c>
      <c r="D242">
        <v>26</v>
      </c>
      <c r="E242">
        <v>28</v>
      </c>
      <c r="F242">
        <v>30</v>
      </c>
      <c r="G242">
        <v>32</v>
      </c>
      <c r="H242">
        <v>34</v>
      </c>
      <c r="I242">
        <v>36</v>
      </c>
      <c r="J242">
        <v>38</v>
      </c>
      <c r="K242">
        <v>40</v>
      </c>
      <c r="L242">
        <v>42</v>
      </c>
      <c r="M242">
        <v>44</v>
      </c>
      <c r="N242">
        <v>46</v>
      </c>
      <c r="O242">
        <v>48</v>
      </c>
      <c r="P242">
        <v>50</v>
      </c>
      <c r="Q242">
        <v>52</v>
      </c>
      <c r="R242">
        <v>54</v>
      </c>
      <c r="S242">
        <v>56</v>
      </c>
      <c r="T242">
        <v>58</v>
      </c>
      <c r="U242">
        <v>60</v>
      </c>
    </row>
    <row r="250" spans="1:21" ht="12.75">
      <c r="A250">
        <v>0.402844599126908</v>
      </c>
      <c r="B250">
        <v>0.402841268206768</v>
      </c>
      <c r="C250">
        <v>0.402837937341711</v>
      </c>
      <c r="D250">
        <v>0.402834606531736</v>
      </c>
      <c r="E250">
        <v>0.402831275776842</v>
      </c>
      <c r="F250">
        <v>0.402827945077026</v>
      </c>
      <c r="G250">
        <v>0.402824614432287</v>
      </c>
      <c r="H250">
        <v>0.402821283842625</v>
      </c>
      <c r="I250">
        <v>0.402817953308037</v>
      </c>
      <c r="J250">
        <v>0.402814622828523</v>
      </c>
      <c r="K250">
        <v>0.402811292404081</v>
      </c>
      <c r="L250">
        <v>0.402807962034709</v>
      </c>
      <c r="M250">
        <v>0.402804631720407</v>
      </c>
      <c r="N250">
        <v>0.402801301461173</v>
      </c>
      <c r="O250">
        <v>0.402797971257005</v>
      </c>
      <c r="P250">
        <v>0.402794641107903</v>
      </c>
      <c r="Q250">
        <v>0.402791311013864</v>
      </c>
      <c r="R250">
        <v>0.402787980974888</v>
      </c>
      <c r="S250">
        <v>0.402784650990973</v>
      </c>
      <c r="T250">
        <v>0.402781321062118</v>
      </c>
      <c r="U250">
        <v>0.402777991188321</v>
      </c>
    </row>
    <row r="251" spans="1:21" ht="12.75">
      <c r="A251">
        <v>216414609.3867</v>
      </c>
      <c r="B251">
        <v>216416901.2435</v>
      </c>
      <c r="C251">
        <v>216419193.1003</v>
      </c>
      <c r="D251">
        <v>216421484.9571</v>
      </c>
      <c r="E251">
        <v>216423776.8139</v>
      </c>
      <c r="F251">
        <v>216426068.6707</v>
      </c>
      <c r="G251">
        <v>216428360.5275</v>
      </c>
      <c r="H251">
        <v>216430652.3843</v>
      </c>
      <c r="I251">
        <v>216432944.2411</v>
      </c>
      <c r="J251">
        <v>216435236.0979</v>
      </c>
      <c r="K251">
        <v>216437527.9547</v>
      </c>
      <c r="L251">
        <v>216439819.8115</v>
      </c>
      <c r="M251">
        <v>216442111.6683</v>
      </c>
      <c r="N251">
        <v>216444403.5251</v>
      </c>
      <c r="O251">
        <v>216446695.3819</v>
      </c>
      <c r="P251">
        <v>216448987.2387</v>
      </c>
      <c r="Q251">
        <v>216451279.0955</v>
      </c>
      <c r="R251">
        <v>216453570.9523</v>
      </c>
      <c r="S251">
        <v>216455862.8091</v>
      </c>
      <c r="T251">
        <v>216458154.6659</v>
      </c>
      <c r="U251">
        <v>216460446.5227</v>
      </c>
    </row>
    <row r="252" spans="1:21" ht="12.75">
      <c r="A252">
        <v>10</v>
      </c>
      <c r="B252">
        <v>11</v>
      </c>
      <c r="C252">
        <v>12</v>
      </c>
      <c r="D252">
        <v>13</v>
      </c>
      <c r="E252">
        <v>14</v>
      </c>
      <c r="F252">
        <v>15</v>
      </c>
      <c r="G252">
        <v>16</v>
      </c>
      <c r="H252">
        <v>17</v>
      </c>
      <c r="I252">
        <v>18</v>
      </c>
      <c r="J252">
        <v>19</v>
      </c>
      <c r="K252">
        <v>20</v>
      </c>
      <c r="L252">
        <v>21</v>
      </c>
      <c r="M252">
        <v>22</v>
      </c>
      <c r="N252">
        <v>23</v>
      </c>
      <c r="O252">
        <v>24</v>
      </c>
      <c r="P252">
        <v>25</v>
      </c>
      <c r="Q252">
        <v>26</v>
      </c>
      <c r="R252">
        <v>27</v>
      </c>
      <c r="S252">
        <v>28</v>
      </c>
      <c r="T252">
        <v>29</v>
      </c>
      <c r="U252">
        <v>30</v>
      </c>
    </row>
    <row r="260" spans="1:21" ht="12.75">
      <c r="A260">
        <v>0.402814622828523</v>
      </c>
      <c r="B260">
        <v>0.402814289783601</v>
      </c>
      <c r="C260">
        <v>0.402813956739229</v>
      </c>
      <c r="D260">
        <v>0.402813623695408</v>
      </c>
      <c r="E260">
        <v>0.402813290652138</v>
      </c>
      <c r="F260">
        <v>0.402812957609418</v>
      </c>
      <c r="G260">
        <v>0.402812624567249</v>
      </c>
      <c r="H260">
        <v>0.402812291525631</v>
      </c>
      <c r="I260">
        <v>0.402811958484564</v>
      </c>
      <c r="J260">
        <v>0.402811625444047</v>
      </c>
      <c r="K260">
        <v>0.402811292404081</v>
      </c>
      <c r="L260">
        <v>0.402810959364666</v>
      </c>
      <c r="M260">
        <v>0.402810626325801</v>
      </c>
      <c r="N260">
        <v>0.402810293287487</v>
      </c>
      <c r="O260">
        <v>0.402809960249724</v>
      </c>
      <c r="P260">
        <v>0.402809627212511</v>
      </c>
      <c r="Q260">
        <v>0.40280929417585</v>
      </c>
      <c r="R260">
        <v>0.402808961139739</v>
      </c>
      <c r="S260">
        <v>0.402808628104178</v>
      </c>
      <c r="T260">
        <v>0.402808295069168</v>
      </c>
      <c r="U260">
        <v>0.402807962034709</v>
      </c>
    </row>
    <row r="261" spans="1:21" ht="12.75">
      <c r="A261">
        <v>216435236.0979</v>
      </c>
      <c r="B261">
        <v>216435465.2836</v>
      </c>
      <c r="C261">
        <v>216435694.4693</v>
      </c>
      <c r="D261">
        <v>216435923.6549</v>
      </c>
      <c r="E261">
        <v>216436152.8406</v>
      </c>
      <c r="F261">
        <v>216436382.0263</v>
      </c>
      <c r="G261">
        <v>216436611.212</v>
      </c>
      <c r="H261">
        <v>216436840.3977</v>
      </c>
      <c r="I261">
        <v>216437069.5833</v>
      </c>
      <c r="J261">
        <v>216437298.769</v>
      </c>
      <c r="K261">
        <v>216437527.9547</v>
      </c>
      <c r="L261">
        <v>216437757.1404</v>
      </c>
      <c r="M261">
        <v>216437986.3261</v>
      </c>
      <c r="N261">
        <v>216438215.5117</v>
      </c>
      <c r="O261">
        <v>216438444.6974</v>
      </c>
      <c r="P261">
        <v>216438673.8831</v>
      </c>
      <c r="Q261">
        <v>216438903.0688</v>
      </c>
      <c r="R261">
        <v>216439132.2545</v>
      </c>
      <c r="S261">
        <v>216439361.4401</v>
      </c>
      <c r="T261">
        <v>216439590.6258</v>
      </c>
      <c r="U261">
        <v>216439819.8115</v>
      </c>
    </row>
    <row r="262" spans="1:21" ht="12.75">
      <c r="A262">
        <v>10</v>
      </c>
      <c r="B262">
        <v>11</v>
      </c>
      <c r="C262">
        <v>12</v>
      </c>
      <c r="D262">
        <v>13</v>
      </c>
      <c r="E262">
        <v>14</v>
      </c>
      <c r="F262">
        <v>15</v>
      </c>
      <c r="G262">
        <v>16</v>
      </c>
      <c r="H262">
        <v>17</v>
      </c>
      <c r="I262">
        <v>18</v>
      </c>
      <c r="J262">
        <v>19</v>
      </c>
      <c r="K262">
        <v>20</v>
      </c>
      <c r="L262">
        <v>21</v>
      </c>
      <c r="M262">
        <v>22</v>
      </c>
      <c r="N262">
        <v>23</v>
      </c>
      <c r="O262">
        <v>24</v>
      </c>
      <c r="P262">
        <v>25</v>
      </c>
      <c r="Q262">
        <v>26</v>
      </c>
      <c r="R262">
        <v>27</v>
      </c>
      <c r="S262">
        <v>28</v>
      </c>
      <c r="T262">
        <v>29</v>
      </c>
      <c r="U262">
        <v>30</v>
      </c>
    </row>
    <row r="270" spans="1:21" ht="12.75">
      <c r="A270">
        <v>0.406593165521842</v>
      </c>
      <c r="B270">
        <v>0.406211785590095</v>
      </c>
      <c r="C270">
        <v>0.405831120448272</v>
      </c>
      <c r="D270">
        <v>0.405451168088745</v>
      </c>
      <c r="E270">
        <v>0.405071926511396</v>
      </c>
      <c r="F270">
        <v>0.404693393723584</v>
      </c>
      <c r="G270">
        <v>0.404315567740108</v>
      </c>
      <c r="H270">
        <v>0.403938446583175</v>
      </c>
      <c r="I270">
        <v>0.403562028282364</v>
      </c>
      <c r="J270">
        <v>0.403186310874593</v>
      </c>
      <c r="K270">
        <v>0.402811292404081</v>
      </c>
      <c r="L270">
        <v>0.402436970922319</v>
      </c>
      <c r="M270">
        <v>0.402063344488033</v>
      </c>
      <c r="N270">
        <v>0.401690411167153</v>
      </c>
      <c r="O270">
        <v>0.401318169032775</v>
      </c>
      <c r="P270">
        <v>0.400946616165135</v>
      </c>
      <c r="Q270">
        <v>0.40057575065157</v>
      </c>
      <c r="R270">
        <v>0.400205570586485</v>
      </c>
      <c r="S270">
        <v>0.399836074071326</v>
      </c>
      <c r="T270">
        <v>0.399467259214543</v>
      </c>
      <c r="U270">
        <v>0.399099124131557</v>
      </c>
    </row>
    <row r="271" spans="1:21" ht="12.75">
      <c r="A271">
        <v>213859189.0497</v>
      </c>
      <c r="B271">
        <v>214117022.9402</v>
      </c>
      <c r="C271">
        <v>214374856.8307</v>
      </c>
      <c r="D271">
        <v>214632690.7212</v>
      </c>
      <c r="E271">
        <v>214890524.6117</v>
      </c>
      <c r="F271">
        <v>215148358.5022</v>
      </c>
      <c r="G271">
        <v>215406192.3927</v>
      </c>
      <c r="H271">
        <v>215664026.2832</v>
      </c>
      <c r="I271">
        <v>215921860.1737</v>
      </c>
      <c r="J271">
        <v>216179694.0642</v>
      </c>
      <c r="K271">
        <v>216437527.9547</v>
      </c>
      <c r="L271">
        <v>216695361.8452</v>
      </c>
      <c r="M271">
        <v>216953195.7357</v>
      </c>
      <c r="N271">
        <v>217211029.6262</v>
      </c>
      <c r="O271">
        <v>217468863.5167</v>
      </c>
      <c r="P271">
        <v>217726697.4072</v>
      </c>
      <c r="Q271">
        <v>217984531.2977</v>
      </c>
      <c r="R271">
        <v>218242365.1882</v>
      </c>
      <c r="S271">
        <v>218500199.0787</v>
      </c>
      <c r="T271">
        <v>218758032.9692</v>
      </c>
      <c r="U271">
        <v>219015866.8596</v>
      </c>
    </row>
    <row r="272" spans="1:21" ht="12.75">
      <c r="A272">
        <v>25000</v>
      </c>
      <c r="B272">
        <v>27500</v>
      </c>
      <c r="C272">
        <v>30000</v>
      </c>
      <c r="D272">
        <v>32500</v>
      </c>
      <c r="E272">
        <v>35000</v>
      </c>
      <c r="F272">
        <v>37500</v>
      </c>
      <c r="G272">
        <v>40000</v>
      </c>
      <c r="H272">
        <v>42500</v>
      </c>
      <c r="I272">
        <v>45000</v>
      </c>
      <c r="J272">
        <v>47500</v>
      </c>
      <c r="K272">
        <v>50000</v>
      </c>
      <c r="L272">
        <v>52500</v>
      </c>
      <c r="M272">
        <v>55000</v>
      </c>
      <c r="N272">
        <v>57500</v>
      </c>
      <c r="O272">
        <v>60000</v>
      </c>
      <c r="P272">
        <v>62500</v>
      </c>
      <c r="Q272">
        <v>65000</v>
      </c>
      <c r="R272">
        <v>67500</v>
      </c>
      <c r="S272">
        <v>70000</v>
      </c>
      <c r="T272">
        <v>72500</v>
      </c>
      <c r="U272">
        <v>75000</v>
      </c>
    </row>
    <row r="280" spans="1:21" ht="12.75">
      <c r="A280">
        <v>0.402811292404081</v>
      </c>
      <c r="B280">
        <v>0.402811292404081</v>
      </c>
      <c r="C280">
        <v>0.402811292404081</v>
      </c>
      <c r="D280">
        <v>0.402811292404081</v>
      </c>
      <c r="E280">
        <v>0.402811292404081</v>
      </c>
      <c r="F280">
        <v>0.402811292404081</v>
      </c>
      <c r="G280">
        <v>0.402811292404081</v>
      </c>
      <c r="H280">
        <v>0.402811292404081</v>
      </c>
      <c r="I280">
        <v>0.402811292404081</v>
      </c>
      <c r="J280">
        <v>0.402811292404081</v>
      </c>
      <c r="K280">
        <v>0.402811292404081</v>
      </c>
      <c r="L280">
        <v>0.402811292404081</v>
      </c>
      <c r="M280">
        <v>0.402811292404081</v>
      </c>
      <c r="N280">
        <v>0.402811292404081</v>
      </c>
      <c r="O280">
        <v>0.402811292404081</v>
      </c>
      <c r="P280">
        <v>0.402811292404081</v>
      </c>
      <c r="Q280">
        <v>0.402811292404081</v>
      </c>
      <c r="R280">
        <v>0.402811292404081</v>
      </c>
      <c r="S280">
        <v>0.402811292404081</v>
      </c>
      <c r="T280">
        <v>0.402811292404081</v>
      </c>
      <c r="U280">
        <v>0.402811292404081</v>
      </c>
    </row>
    <row r="281" spans="1:21" ht="12.75">
      <c r="A281">
        <v>216437527.9547</v>
      </c>
      <c r="B281">
        <v>216437527.9547</v>
      </c>
      <c r="C281">
        <v>216437527.9547</v>
      </c>
      <c r="D281">
        <v>216437527.9547</v>
      </c>
      <c r="E281">
        <v>216437527.9547</v>
      </c>
      <c r="F281">
        <v>216437527.9547</v>
      </c>
      <c r="G281">
        <v>216437527.9547</v>
      </c>
      <c r="H281">
        <v>216437527.9547</v>
      </c>
      <c r="I281">
        <v>216437527.9547</v>
      </c>
      <c r="J281">
        <v>216437527.9547</v>
      </c>
      <c r="K281">
        <v>216437527.9547</v>
      </c>
      <c r="L281">
        <v>216437527.9547</v>
      </c>
      <c r="M281">
        <v>216437527.9547</v>
      </c>
      <c r="N281">
        <v>216437527.9547</v>
      </c>
      <c r="O281">
        <v>216437527.9547</v>
      </c>
      <c r="P281">
        <v>216437527.9547</v>
      </c>
      <c r="Q281">
        <v>216437527.9547</v>
      </c>
      <c r="R281">
        <v>216437527.9547</v>
      </c>
      <c r="S281">
        <v>216437527.9547</v>
      </c>
      <c r="T281">
        <v>216437527.9547</v>
      </c>
      <c r="U281">
        <v>216437527.9547</v>
      </c>
    </row>
    <row r="282" spans="1:21" ht="12.75">
      <c r="A282">
        <v>11</v>
      </c>
      <c r="B282">
        <v>12</v>
      </c>
      <c r="C282">
        <v>13</v>
      </c>
      <c r="D282">
        <v>14</v>
      </c>
      <c r="E282">
        <v>15</v>
      </c>
      <c r="F282">
        <v>16</v>
      </c>
      <c r="G282">
        <v>17</v>
      </c>
      <c r="H282">
        <v>18</v>
      </c>
      <c r="I282">
        <v>19</v>
      </c>
      <c r="J282">
        <v>20</v>
      </c>
      <c r="K282">
        <v>21</v>
      </c>
      <c r="L282">
        <v>22</v>
      </c>
      <c r="M282">
        <v>23</v>
      </c>
      <c r="N282">
        <v>24</v>
      </c>
      <c r="O282">
        <v>25</v>
      </c>
      <c r="P282">
        <v>26</v>
      </c>
      <c r="Q282">
        <v>27</v>
      </c>
      <c r="R282">
        <v>28</v>
      </c>
      <c r="S282">
        <v>29</v>
      </c>
      <c r="T282">
        <v>30</v>
      </c>
      <c r="U282">
        <v>31</v>
      </c>
    </row>
    <row r="290" spans="1:21" ht="12.75">
      <c r="A290">
        <v>0.404072231738865</v>
      </c>
      <c r="B290">
        <v>0.403947634029777</v>
      </c>
      <c r="C290">
        <v>0.403822712655043</v>
      </c>
      <c r="D290">
        <v>0.403697464398486</v>
      </c>
      <c r="E290">
        <v>0.403571885991377</v>
      </c>
      <c r="F290">
        <v>0.403445974111222</v>
      </c>
      <c r="G290">
        <v>0.40331972538052</v>
      </c>
      <c r="H290">
        <v>0.40319313636548</v>
      </c>
      <c r="I290">
        <v>0.403066203574702</v>
      </c>
      <c r="J290">
        <v>0.402938923457816</v>
      </c>
      <c r="K290">
        <v>0.402811292404081</v>
      </c>
      <c r="L290">
        <v>0.402683306740937</v>
      </c>
      <c r="M290">
        <v>0.402554962732521</v>
      </c>
      <c r="N290">
        <v>0.402426256578123</v>
      </c>
      <c r="O290">
        <v>0.40229718441061</v>
      </c>
      <c r="P290">
        <v>0.402167742294786</v>
      </c>
      <c r="Q290">
        <v>0.402037926225706</v>
      </c>
      <c r="R290">
        <v>0.401907732126936</v>
      </c>
      <c r="S290">
        <v>0.401777155848757</v>
      </c>
      <c r="T290">
        <v>0.40164619316631</v>
      </c>
      <c r="U290">
        <v>0.401514839777677</v>
      </c>
    </row>
    <row r="291" spans="1:21" ht="12.75">
      <c r="A291">
        <v>215572503.6535</v>
      </c>
      <c r="B291">
        <v>215657739.1983</v>
      </c>
      <c r="C291">
        <v>215743248.9614</v>
      </c>
      <c r="D291">
        <v>215829035.6066</v>
      </c>
      <c r="E291">
        <v>215915101.8412</v>
      </c>
      <c r="F291">
        <v>216001450.4168</v>
      </c>
      <c r="G291">
        <v>216088084.1302</v>
      </c>
      <c r="H291">
        <v>216175005.8252</v>
      </c>
      <c r="I291">
        <v>216262218.3928</v>
      </c>
      <c r="J291">
        <v>216349724.7727</v>
      </c>
      <c r="K291">
        <v>216437527.9547</v>
      </c>
      <c r="L291">
        <v>216525630.9794</v>
      </c>
      <c r="M291">
        <v>216614036.9398</v>
      </c>
      <c r="N291">
        <v>216702748.9825</v>
      </c>
      <c r="O291">
        <v>216791770.3088</v>
      </c>
      <c r="P291">
        <v>216881104.1763</v>
      </c>
      <c r="Q291">
        <v>216970753.9001</v>
      </c>
      <c r="R291">
        <v>217060722.8545</v>
      </c>
      <c r="S291">
        <v>217151014.474</v>
      </c>
      <c r="T291">
        <v>217241632.2556</v>
      </c>
      <c r="U291">
        <v>217332579.7594</v>
      </c>
    </row>
    <row r="292" spans="1:21" ht="12.75">
      <c r="A292">
        <v>10</v>
      </c>
      <c r="B292">
        <v>11</v>
      </c>
      <c r="C292">
        <v>12</v>
      </c>
      <c r="D292">
        <v>13</v>
      </c>
      <c r="E292">
        <v>14</v>
      </c>
      <c r="F292">
        <v>15</v>
      </c>
      <c r="G292">
        <v>16</v>
      </c>
      <c r="H292">
        <v>17</v>
      </c>
      <c r="I292">
        <v>18</v>
      </c>
      <c r="J292">
        <v>19</v>
      </c>
      <c r="K292">
        <v>20</v>
      </c>
      <c r="L292">
        <v>21</v>
      </c>
      <c r="M292">
        <v>22</v>
      </c>
      <c r="N292">
        <v>23</v>
      </c>
      <c r="O292">
        <v>24</v>
      </c>
      <c r="P292">
        <v>25</v>
      </c>
      <c r="Q292">
        <v>26</v>
      </c>
      <c r="R292">
        <v>27</v>
      </c>
      <c r="S292">
        <v>28</v>
      </c>
      <c r="T292">
        <v>29</v>
      </c>
      <c r="U292">
        <v>30</v>
      </c>
    </row>
    <row r="310" spans="1:21" ht="12.75">
      <c r="A310">
        <v>0.404084023718757</v>
      </c>
      <c r="B310">
        <v>0.40395638878015</v>
      </c>
      <c r="C310">
        <v>0.403828834446232</v>
      </c>
      <c r="D310">
        <v>0.403701360640671</v>
      </c>
      <c r="E310">
        <v>0.403573967287232</v>
      </c>
      <c r="F310">
        <v>0.403446654309776</v>
      </c>
      <c r="G310">
        <v>0.403319421632259</v>
      </c>
      <c r="H310">
        <v>0.403192269178735</v>
      </c>
      <c r="I310">
        <v>0.403065196873352</v>
      </c>
      <c r="J310">
        <v>0.402938204640354</v>
      </c>
      <c r="K310">
        <v>0.402811292404081</v>
      </c>
      <c r="L310">
        <v>0.402684460088967</v>
      </c>
      <c r="M310">
        <v>0.402557707619542</v>
      </c>
      <c r="N310">
        <v>0.402431034920431</v>
      </c>
      <c r="O310">
        <v>0.402304441916355</v>
      </c>
      <c r="P310">
        <v>0.402177928532127</v>
      </c>
      <c r="Q310">
        <v>0.402051494692656</v>
      </c>
      <c r="R310">
        <v>0.401925140322947</v>
      </c>
      <c r="S310">
        <v>0.401798865348096</v>
      </c>
      <c r="T310">
        <v>0.401672669693296</v>
      </c>
      <c r="U310">
        <v>0.401546553283832</v>
      </c>
    </row>
    <row r="311" spans="1:21" ht="12.75">
      <c r="A311">
        <v>215564439.6483</v>
      </c>
      <c r="B311">
        <v>215651748.4789</v>
      </c>
      <c r="C311">
        <v>215739057.3095</v>
      </c>
      <c r="D311">
        <v>215826366.1402</v>
      </c>
      <c r="E311">
        <v>215913674.9708</v>
      </c>
      <c r="F311">
        <v>216000983.8015</v>
      </c>
      <c r="G311">
        <v>216088292.6321</v>
      </c>
      <c r="H311">
        <v>216175601.4628</v>
      </c>
      <c r="I311">
        <v>216262910.2934</v>
      </c>
      <c r="J311">
        <v>216350219.1241</v>
      </c>
      <c r="K311">
        <v>216437527.9547</v>
      </c>
      <c r="L311">
        <v>216524836.7853</v>
      </c>
      <c r="M311">
        <v>216612145.616</v>
      </c>
      <c r="N311">
        <v>216699454.4466</v>
      </c>
      <c r="O311">
        <v>216786763.2773</v>
      </c>
      <c r="P311">
        <v>216874072.1079</v>
      </c>
      <c r="Q311">
        <v>216961380.9386</v>
      </c>
      <c r="R311">
        <v>217048689.7692</v>
      </c>
      <c r="S311">
        <v>217135998.5998</v>
      </c>
      <c r="T311">
        <v>217223307.4305</v>
      </c>
      <c r="U311">
        <v>217310616.2611</v>
      </c>
    </row>
    <row r="312" spans="1:21" ht="12.75">
      <c r="A312">
        <v>0</v>
      </c>
      <c r="B312">
        <v>0.01</v>
      </c>
      <c r="C312">
        <v>0.02</v>
      </c>
      <c r="D312">
        <v>0.03</v>
      </c>
      <c r="E312">
        <v>0.04</v>
      </c>
      <c r="F312">
        <v>0.05</v>
      </c>
      <c r="G312">
        <v>0.06</v>
      </c>
      <c r="H312">
        <v>0.07</v>
      </c>
      <c r="I312">
        <v>0.08</v>
      </c>
      <c r="J312">
        <v>0.09</v>
      </c>
      <c r="K312">
        <v>0.1</v>
      </c>
      <c r="L312">
        <v>0.11</v>
      </c>
      <c r="M312">
        <v>0.12</v>
      </c>
      <c r="N312">
        <v>0.13</v>
      </c>
      <c r="O312">
        <v>0.14</v>
      </c>
      <c r="P312">
        <v>0.15</v>
      </c>
      <c r="Q312">
        <v>0.16</v>
      </c>
      <c r="R312">
        <v>0.17</v>
      </c>
      <c r="S312">
        <v>0.18</v>
      </c>
      <c r="T312">
        <v>0.19</v>
      </c>
      <c r="U312">
        <v>0.2</v>
      </c>
    </row>
    <row r="320" spans="1:21" ht="12.75">
      <c r="A320">
        <v>0.423614872280958</v>
      </c>
      <c r="B320">
        <v>0.421438313237569</v>
      </c>
      <c r="C320">
        <v>0.419284006446906</v>
      </c>
      <c r="D320">
        <v>0.417151612397537</v>
      </c>
      <c r="E320">
        <v>0.415040798449828</v>
      </c>
      <c r="F320">
        <v>0.412951238662958</v>
      </c>
      <c r="G320">
        <v>0.41088261362714</v>
      </c>
      <c r="H320">
        <v>0.408834610300851</v>
      </c>
      <c r="I320">
        <v>0.406806921852907</v>
      </c>
      <c r="J320">
        <v>0.404799247509225</v>
      </c>
      <c r="K320">
        <v>0.402811292404081</v>
      </c>
      <c r="L320">
        <v>0.400842767435749</v>
      </c>
      <c r="M320">
        <v>0.398893389126339</v>
      </c>
      <c r="N320">
        <v>0.396962879485713</v>
      </c>
      <c r="O320">
        <v>0.395050965879325</v>
      </c>
      <c r="P320">
        <v>0.393157380899872</v>
      </c>
      <c r="Q320">
        <v>0.391281862242613</v>
      </c>
      <c r="R320">
        <v>0.389424152584238</v>
      </c>
      <c r="S320">
        <v>0.387583999465177</v>
      </c>
      <c r="T320">
        <v>0.385761155175222</v>
      </c>
      <c r="U320">
        <v>0.383955376642374</v>
      </c>
    </row>
    <row r="321" spans="1:21" ht="12.75">
      <c r="A321">
        <v>202824335.0807</v>
      </c>
      <c r="B321">
        <v>204185654.3681</v>
      </c>
      <c r="C321">
        <v>205546973.6555</v>
      </c>
      <c r="D321">
        <v>206908292.9429</v>
      </c>
      <c r="E321">
        <v>208269612.2303</v>
      </c>
      <c r="F321">
        <v>209630931.5177</v>
      </c>
      <c r="G321">
        <v>210992250.8051</v>
      </c>
      <c r="H321">
        <v>212353570.0925</v>
      </c>
      <c r="I321">
        <v>213714889.3799</v>
      </c>
      <c r="J321">
        <v>215076208.6673</v>
      </c>
      <c r="K321">
        <v>216437527.9547</v>
      </c>
      <c r="L321">
        <v>217798847.2421</v>
      </c>
      <c r="M321">
        <v>219160166.5295</v>
      </c>
      <c r="N321">
        <v>220521485.8169</v>
      </c>
      <c r="O321">
        <v>221882805.1043</v>
      </c>
      <c r="P321">
        <v>223244124.3917</v>
      </c>
      <c r="Q321">
        <v>224605443.6791</v>
      </c>
      <c r="R321">
        <v>225966762.9665</v>
      </c>
      <c r="S321">
        <v>227328082.2539</v>
      </c>
      <c r="T321">
        <v>228689401.5413</v>
      </c>
      <c r="U321">
        <v>230050720.8287</v>
      </c>
    </row>
    <row r="322" spans="1:21" ht="12.75">
      <c r="A322">
        <v>10</v>
      </c>
      <c r="B322">
        <v>12</v>
      </c>
      <c r="C322">
        <v>14</v>
      </c>
      <c r="D322">
        <v>16</v>
      </c>
      <c r="E322">
        <v>18</v>
      </c>
      <c r="F322">
        <v>20</v>
      </c>
      <c r="G322">
        <v>22</v>
      </c>
      <c r="H322">
        <v>24</v>
      </c>
      <c r="I322">
        <v>26</v>
      </c>
      <c r="J322">
        <v>28</v>
      </c>
      <c r="K322">
        <v>30</v>
      </c>
      <c r="L322">
        <v>32</v>
      </c>
      <c r="M322">
        <v>34</v>
      </c>
      <c r="N322">
        <v>36</v>
      </c>
      <c r="O322">
        <v>38</v>
      </c>
      <c r="P322">
        <v>40</v>
      </c>
      <c r="Q322">
        <v>42</v>
      </c>
      <c r="R322">
        <v>44</v>
      </c>
      <c r="S322">
        <v>46</v>
      </c>
      <c r="T322">
        <v>48</v>
      </c>
      <c r="U322">
        <v>50</v>
      </c>
    </row>
    <row r="330" spans="1:21" ht="12.75">
      <c r="A330">
        <v>0.408203545246665</v>
      </c>
      <c r="B330">
        <v>0.407657832118584</v>
      </c>
      <c r="C330">
        <v>0.407113576132318</v>
      </c>
      <c r="D330">
        <v>0.406570771459444</v>
      </c>
      <c r="E330">
        <v>0.406029412302582</v>
      </c>
      <c r="F330">
        <v>0.405489492895188</v>
      </c>
      <c r="G330">
        <v>0.404951007501349</v>
      </c>
      <c r="H330">
        <v>0.404413950415582</v>
      </c>
      <c r="I330">
        <v>0.40387831596263</v>
      </c>
      <c r="J330">
        <v>0.403344098497263</v>
      </c>
      <c r="K330">
        <v>0.402811292404081</v>
      </c>
      <c r="L330">
        <v>0.402279892097313</v>
      </c>
      <c r="M330">
        <v>0.401749892020629</v>
      </c>
      <c r="N330">
        <v>0.401221286646938</v>
      </c>
      <c r="O330">
        <v>0.400694070478203</v>
      </c>
      <c r="P330">
        <v>0.400168238045247</v>
      </c>
      <c r="Q330">
        <v>0.399643783907562</v>
      </c>
      <c r="R330">
        <v>0.399120702653126</v>
      </c>
      <c r="S330">
        <v>0.398598988898213</v>
      </c>
      <c r="T330">
        <v>0.398078637287212</v>
      </c>
      <c r="U330">
        <v>0.397559642492438</v>
      </c>
    </row>
    <row r="331" spans="1:21" ht="12.75">
      <c r="A331">
        <v>212775795.5975</v>
      </c>
      <c r="B331">
        <v>213141968.8332</v>
      </c>
      <c r="C331">
        <v>213508142.0689</v>
      </c>
      <c r="D331">
        <v>213874315.3047</v>
      </c>
      <c r="E331">
        <v>214240488.5404</v>
      </c>
      <c r="F331">
        <v>214606661.7761</v>
      </c>
      <c r="G331">
        <v>214972835.0118</v>
      </c>
      <c r="H331">
        <v>215339008.2475</v>
      </c>
      <c r="I331">
        <v>215705181.4833</v>
      </c>
      <c r="J331">
        <v>216071354.719</v>
      </c>
      <c r="K331">
        <v>216437527.9547</v>
      </c>
      <c r="L331">
        <v>216803701.1904</v>
      </c>
      <c r="M331">
        <v>217169874.4261</v>
      </c>
      <c r="N331">
        <v>217536047.6619</v>
      </c>
      <c r="O331">
        <v>217902220.8976</v>
      </c>
      <c r="P331">
        <v>218268394.1333</v>
      </c>
      <c r="Q331">
        <v>218634567.369</v>
      </c>
      <c r="R331">
        <v>219000740.6047</v>
      </c>
      <c r="S331">
        <v>219366913.8405</v>
      </c>
      <c r="T331">
        <v>219733087.0762</v>
      </c>
      <c r="U331">
        <v>220099260.3119</v>
      </c>
    </row>
    <row r="332" spans="1:21" ht="12.75">
      <c r="A332">
        <v>5</v>
      </c>
      <c r="B332">
        <v>5.5</v>
      </c>
      <c r="C332">
        <v>6</v>
      </c>
      <c r="D332">
        <v>6.5</v>
      </c>
      <c r="E332">
        <v>7</v>
      </c>
      <c r="F332">
        <v>7.5</v>
      </c>
      <c r="G332">
        <v>8</v>
      </c>
      <c r="H332">
        <v>8.5</v>
      </c>
      <c r="I332">
        <v>9</v>
      </c>
      <c r="J332">
        <v>9.5</v>
      </c>
      <c r="K332">
        <v>10</v>
      </c>
      <c r="L332">
        <v>10.5</v>
      </c>
      <c r="M332">
        <v>11</v>
      </c>
      <c r="N332">
        <v>11.5</v>
      </c>
      <c r="O332">
        <v>12</v>
      </c>
      <c r="P332">
        <v>12.5</v>
      </c>
      <c r="Q332">
        <v>13</v>
      </c>
      <c r="R332">
        <v>13.5</v>
      </c>
      <c r="S332">
        <v>14</v>
      </c>
      <c r="T332">
        <v>14.5</v>
      </c>
      <c r="U332">
        <v>15</v>
      </c>
    </row>
    <row r="340" spans="1:21" ht="12.75">
      <c r="A340">
        <v>0.405489492895188</v>
      </c>
      <c r="B340">
        <v>0.405220071303877</v>
      </c>
      <c r="C340">
        <v>0.404951007501349</v>
      </c>
      <c r="D340">
        <v>0.404682300775366</v>
      </c>
      <c r="E340">
        <v>0.404413950415582</v>
      </c>
      <c r="F340">
        <v>0.404145955713533</v>
      </c>
      <c r="G340">
        <v>0.40387831596263</v>
      </c>
      <c r="H340">
        <v>0.403611030458158</v>
      </c>
      <c r="I340">
        <v>0.403344098497263</v>
      </c>
      <c r="J340">
        <v>0.403077519378952</v>
      </c>
      <c r="K340">
        <v>0.402811292404081</v>
      </c>
      <c r="L340">
        <v>0.402545416875354</v>
      </c>
      <c r="M340">
        <v>0.402279892097313</v>
      </c>
      <c r="N340">
        <v>0.402014717376337</v>
      </c>
      <c r="O340">
        <v>0.401749892020629</v>
      </c>
      <c r="P340">
        <v>0.401485415340215</v>
      </c>
      <c r="Q340">
        <v>0.401221286646938</v>
      </c>
      <c r="R340">
        <v>0.400957505254449</v>
      </c>
      <c r="S340">
        <v>0.400694070478203</v>
      </c>
      <c r="T340">
        <v>0.400430981635454</v>
      </c>
      <c r="U340">
        <v>0.400168238045247</v>
      </c>
    </row>
    <row r="341" spans="1:21" ht="12.75">
      <c r="A341">
        <v>214606661.7761</v>
      </c>
      <c r="B341">
        <v>214789748.394</v>
      </c>
      <c r="C341">
        <v>214972835.0118</v>
      </c>
      <c r="D341">
        <v>215155921.6297</v>
      </c>
      <c r="E341">
        <v>215339008.2475</v>
      </c>
      <c r="F341">
        <v>215522094.8654</v>
      </c>
      <c r="G341">
        <v>215705181.4833</v>
      </c>
      <c r="H341">
        <v>215888268.1011</v>
      </c>
      <c r="I341">
        <v>216071354.719</v>
      </c>
      <c r="J341">
        <v>216254441.3368</v>
      </c>
      <c r="K341">
        <v>216437527.9547</v>
      </c>
      <c r="L341">
        <v>216620614.5726</v>
      </c>
      <c r="M341">
        <v>216803701.1904</v>
      </c>
      <c r="N341">
        <v>216986787.8083</v>
      </c>
      <c r="O341">
        <v>217169874.4261</v>
      </c>
      <c r="P341">
        <v>217352961.044</v>
      </c>
      <c r="Q341">
        <v>217536047.6619</v>
      </c>
      <c r="R341">
        <v>217719134.2797</v>
      </c>
      <c r="S341">
        <v>217902220.8976</v>
      </c>
      <c r="T341">
        <v>218085307.5154</v>
      </c>
      <c r="U341">
        <v>218268394.1333</v>
      </c>
    </row>
    <row r="342" spans="1:21" ht="12.75">
      <c r="A342">
        <v>60</v>
      </c>
      <c r="B342">
        <v>62</v>
      </c>
      <c r="C342">
        <v>64</v>
      </c>
      <c r="D342">
        <v>66</v>
      </c>
      <c r="E342">
        <v>68</v>
      </c>
      <c r="F342">
        <v>70</v>
      </c>
      <c r="G342">
        <v>72</v>
      </c>
      <c r="H342">
        <v>74</v>
      </c>
      <c r="I342">
        <v>76</v>
      </c>
      <c r="J342">
        <v>78</v>
      </c>
      <c r="K342">
        <v>80</v>
      </c>
      <c r="L342">
        <v>82</v>
      </c>
      <c r="M342">
        <v>84</v>
      </c>
      <c r="N342">
        <v>86</v>
      </c>
      <c r="O342">
        <v>88</v>
      </c>
      <c r="P342">
        <v>90</v>
      </c>
      <c r="Q342">
        <v>92</v>
      </c>
      <c r="R342">
        <v>94</v>
      </c>
      <c r="S342">
        <v>96</v>
      </c>
      <c r="T342">
        <v>98</v>
      </c>
      <c r="U342">
        <v>100</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codeName="Sheet15"/>
  <dimension ref="A1:F61"/>
  <sheetViews>
    <sheetView workbookViewId="0" topLeftCell="A1">
      <selection activeCell="H8" sqref="H8"/>
    </sheetView>
  </sheetViews>
  <sheetFormatPr defaultColWidth="9.140625" defaultRowHeight="12.75"/>
  <cols>
    <col min="1" max="1" width="9.140625" style="205" customWidth="1"/>
    <col min="2" max="2" width="16.57421875" style="0" customWidth="1"/>
    <col min="3" max="3" width="40.57421875" style="0" customWidth="1"/>
    <col min="4" max="4" width="17.421875" style="0" customWidth="1"/>
    <col min="5" max="7" width="12.57421875" style="0" customWidth="1"/>
    <col min="8" max="8" width="13.421875" style="0" customWidth="1"/>
  </cols>
  <sheetData>
    <row r="1" s="5" customFormat="1" ht="12.75">
      <c r="A1" s="206"/>
    </row>
    <row r="2" spans="1:6" s="5" customFormat="1" ht="12.75">
      <c r="A2" s="206"/>
      <c r="B2" s="358" t="s">
        <v>298</v>
      </c>
      <c r="C2" s="358"/>
      <c r="D2" s="358"/>
      <c r="E2" s="262"/>
      <c r="F2" s="262"/>
    </row>
    <row r="3" s="5" customFormat="1" ht="12.75">
      <c r="A3" s="206"/>
    </row>
    <row r="4" spans="1:2" s="5" customFormat="1" ht="12.75">
      <c r="A4" s="206"/>
      <c r="B4" s="11" t="s">
        <v>75</v>
      </c>
    </row>
    <row r="5" spans="1:2" s="5" customFormat="1" ht="13.5" thickBot="1">
      <c r="A5" s="206"/>
      <c r="B5" s="263"/>
    </row>
    <row r="6" spans="1:4" s="5" customFormat="1" ht="12.75">
      <c r="A6" s="206"/>
      <c r="B6" s="29" t="s">
        <v>76</v>
      </c>
      <c r="C6" s="251"/>
      <c r="D6" s="251"/>
    </row>
    <row r="7" spans="1:4" s="5" customFormat="1" ht="12.75">
      <c r="A7" s="206"/>
      <c r="B7" s="211" t="s">
        <v>65</v>
      </c>
      <c r="C7" s="221" t="s">
        <v>211</v>
      </c>
      <c r="D7" s="344">
        <v>4000000000</v>
      </c>
    </row>
    <row r="8" spans="1:4" s="5" customFormat="1" ht="12.75">
      <c r="A8" s="206"/>
      <c r="B8" s="211"/>
      <c r="C8" s="221" t="s">
        <v>96</v>
      </c>
      <c r="D8" s="231">
        <v>0.05</v>
      </c>
    </row>
    <row r="9" spans="1:4" s="5" customFormat="1" ht="12.75">
      <c r="A9" s="206"/>
      <c r="B9" s="211"/>
      <c r="C9" s="221" t="s">
        <v>111</v>
      </c>
      <c r="D9" s="231">
        <v>0.1</v>
      </c>
    </row>
    <row r="10" spans="1:4" s="5" customFormat="1" ht="12.75">
      <c r="A10" s="206"/>
      <c r="B10" s="211"/>
      <c r="C10" s="221" t="s">
        <v>169</v>
      </c>
      <c r="D10" s="231">
        <v>0.15</v>
      </c>
    </row>
    <row r="11" spans="1:4" s="5" customFormat="1" ht="12.75">
      <c r="A11" s="206"/>
      <c r="B11" s="211"/>
      <c r="C11" s="221" t="s">
        <v>191</v>
      </c>
      <c r="D11" s="231">
        <v>0.01</v>
      </c>
    </row>
    <row r="12" spans="1:4" s="5" customFormat="1" ht="13.5" thickBot="1">
      <c r="A12" s="206"/>
      <c r="B12" s="252"/>
      <c r="C12" s="226" t="s">
        <v>399</v>
      </c>
      <c r="D12" s="357">
        <v>0.1</v>
      </c>
    </row>
    <row r="13" spans="1:4" s="5" customFormat="1" ht="13.5" thickBot="1">
      <c r="A13" s="206"/>
      <c r="B13" s="163"/>
      <c r="C13" s="163"/>
      <c r="D13" s="163"/>
    </row>
    <row r="14" spans="1:6" s="5" customFormat="1" ht="15.75">
      <c r="A14" s="206"/>
      <c r="B14" s="359" t="s">
        <v>293</v>
      </c>
      <c r="C14" s="360"/>
      <c r="D14" s="360"/>
      <c r="E14" s="360"/>
      <c r="F14" s="361"/>
    </row>
    <row r="15" spans="1:6" s="5" customFormat="1" ht="12.75">
      <c r="A15" s="206"/>
      <c r="B15" s="211"/>
      <c r="C15" s="163"/>
      <c r="D15" s="253"/>
      <c r="E15" s="253"/>
      <c r="F15" s="212"/>
    </row>
    <row r="16" spans="1:6" s="256" customFormat="1" ht="18.75" customHeight="1">
      <c r="A16" s="254"/>
      <c r="B16" s="321"/>
      <c r="C16" s="322" t="s">
        <v>289</v>
      </c>
      <c r="D16" s="264" t="b">
        <v>1</v>
      </c>
      <c r="F16" s="265"/>
    </row>
    <row r="17" spans="1:6" s="256" customFormat="1" ht="18.75" customHeight="1">
      <c r="A17" s="254"/>
      <c r="B17" s="321"/>
      <c r="C17" s="322" t="s">
        <v>90</v>
      </c>
      <c r="D17" s="264" t="b">
        <v>1</v>
      </c>
      <c r="F17" s="265"/>
    </row>
    <row r="18" spans="1:6" s="256" customFormat="1" ht="18.75" customHeight="1">
      <c r="A18" s="254"/>
      <c r="B18" s="321"/>
      <c r="C18" s="322" t="s">
        <v>291</v>
      </c>
      <c r="D18" s="264" t="b">
        <v>1</v>
      </c>
      <c r="F18" s="265"/>
    </row>
    <row r="19" spans="1:6" s="256" customFormat="1" ht="18.75" customHeight="1">
      <c r="A19" s="254"/>
      <c r="B19" s="321"/>
      <c r="C19" s="322" t="s">
        <v>290</v>
      </c>
      <c r="D19" s="264" t="b">
        <v>1</v>
      </c>
      <c r="F19" s="265"/>
    </row>
    <row r="20" spans="1:6" s="256" customFormat="1" ht="18.75" customHeight="1">
      <c r="A20" s="254"/>
      <c r="B20" s="321"/>
      <c r="C20" s="322" t="s">
        <v>292</v>
      </c>
      <c r="D20" s="264" t="b">
        <v>1</v>
      </c>
      <c r="F20" s="265"/>
    </row>
    <row r="21" spans="1:6" s="256" customFormat="1" ht="18.75" customHeight="1">
      <c r="A21" s="254"/>
      <c r="B21" s="321"/>
      <c r="C21" s="322" t="s">
        <v>92</v>
      </c>
      <c r="D21" s="264" t="b">
        <v>1</v>
      </c>
      <c r="F21" s="265"/>
    </row>
    <row r="22" spans="1:6" s="256" customFormat="1" ht="18.75" customHeight="1">
      <c r="A22" s="254"/>
      <c r="B22" s="323"/>
      <c r="C22" s="324" t="s">
        <v>354</v>
      </c>
      <c r="D22" s="264" t="b">
        <v>1</v>
      </c>
      <c r="F22" s="265"/>
    </row>
    <row r="23" spans="1:6" s="256" customFormat="1" ht="18.75" customHeight="1">
      <c r="A23" s="254"/>
      <c r="B23" s="323"/>
      <c r="C23" s="324" t="s">
        <v>356</v>
      </c>
      <c r="D23" s="264" t="b">
        <v>1</v>
      </c>
      <c r="F23" s="265"/>
    </row>
    <row r="24" spans="1:6" s="256" customFormat="1" ht="18.75" customHeight="1">
      <c r="A24" s="254"/>
      <c r="B24" s="323"/>
      <c r="C24" s="324" t="s">
        <v>182</v>
      </c>
      <c r="D24" s="264" t="b">
        <v>1</v>
      </c>
      <c r="F24" s="265"/>
    </row>
    <row r="25" spans="1:6" s="256" customFormat="1" ht="18.75" customHeight="1">
      <c r="A25" s="254"/>
      <c r="B25" s="323"/>
      <c r="C25" s="324" t="s">
        <v>355</v>
      </c>
      <c r="D25" s="264" t="b">
        <v>1</v>
      </c>
      <c r="F25" s="265"/>
    </row>
    <row r="26" spans="1:6" s="256" customFormat="1" ht="18.75" customHeight="1">
      <c r="A26" s="254"/>
      <c r="B26" s="323"/>
      <c r="C26" s="324" t="s">
        <v>206</v>
      </c>
      <c r="D26" s="264" t="b">
        <v>1</v>
      </c>
      <c r="F26" s="265"/>
    </row>
    <row r="27" spans="1:6" s="256" customFormat="1" ht="18.75" customHeight="1">
      <c r="A27" s="254"/>
      <c r="B27" s="215"/>
      <c r="C27" s="216"/>
      <c r="D27" s="264"/>
      <c r="F27" s="265"/>
    </row>
    <row r="28" spans="1:6" s="256" customFormat="1" ht="18.75" customHeight="1">
      <c r="A28" s="254"/>
      <c r="B28" s="319" t="s">
        <v>352</v>
      </c>
      <c r="C28" s="320" t="s">
        <v>353</v>
      </c>
      <c r="D28" s="255"/>
      <c r="F28" s="265"/>
    </row>
    <row r="29" spans="1:6" s="5" customFormat="1" ht="13.5" thickBot="1">
      <c r="A29" s="206"/>
      <c r="B29" s="213"/>
      <c r="C29" s="214"/>
      <c r="D29" s="266"/>
      <c r="E29" s="267"/>
      <c r="F29" s="268"/>
    </row>
    <row r="30" spans="1:6" s="5" customFormat="1" ht="12.75">
      <c r="A30" s="206"/>
      <c r="B30" s="258"/>
      <c r="C30" s="163"/>
      <c r="D30" s="257"/>
      <c r="E30" s="257"/>
      <c r="F30" s="257"/>
    </row>
    <row r="31" spans="1:6" s="5" customFormat="1" ht="12.75">
      <c r="A31" s="206"/>
      <c r="B31" s="163"/>
      <c r="C31" s="163"/>
      <c r="D31" s="257"/>
      <c r="E31" s="257"/>
      <c r="F31" s="257"/>
    </row>
    <row r="32" spans="1:6" s="5" customFormat="1" ht="12.75">
      <c r="A32" s="206"/>
      <c r="B32" s="163"/>
      <c r="C32" s="259"/>
      <c r="D32" s="260"/>
      <c r="E32" s="260"/>
      <c r="F32" s="260"/>
    </row>
    <row r="33" spans="1:6" s="5" customFormat="1" ht="12.75">
      <c r="A33" s="206"/>
      <c r="B33" s="163"/>
      <c r="C33" s="259"/>
      <c r="D33" s="261"/>
      <c r="E33" s="261"/>
      <c r="F33" s="261"/>
    </row>
    <row r="34" s="5" customFormat="1" ht="12.75">
      <c r="A34" s="206"/>
    </row>
    <row r="35" s="5" customFormat="1" ht="12.75">
      <c r="A35" s="206"/>
    </row>
    <row r="36" s="5" customFormat="1" ht="12.75">
      <c r="A36" s="206"/>
    </row>
    <row r="37" s="5" customFormat="1" ht="12.75">
      <c r="A37" s="206"/>
    </row>
    <row r="38" s="5" customFormat="1" ht="12.75">
      <c r="A38" s="206"/>
    </row>
    <row r="39" s="5" customFormat="1" ht="12.75">
      <c r="A39" s="206"/>
    </row>
    <row r="40" s="5" customFormat="1" ht="12.75">
      <c r="A40" s="206"/>
    </row>
    <row r="41" s="5" customFormat="1" ht="12.75">
      <c r="A41" s="206"/>
    </row>
    <row r="42" s="5" customFormat="1" ht="12.75">
      <c r="A42" s="206"/>
    </row>
    <row r="43" s="5" customFormat="1" ht="12.75">
      <c r="A43" s="206"/>
    </row>
    <row r="44" s="5" customFormat="1" ht="12.75">
      <c r="A44" s="206"/>
    </row>
    <row r="45" s="5" customFormat="1" ht="12.75">
      <c r="A45" s="206"/>
    </row>
    <row r="46" s="5" customFormat="1" ht="12.75">
      <c r="A46" s="206"/>
    </row>
    <row r="47" s="5" customFormat="1" ht="12.75">
      <c r="A47" s="206"/>
    </row>
    <row r="48" s="5" customFormat="1" ht="12.75">
      <c r="A48" s="206"/>
    </row>
    <row r="49" s="5" customFormat="1" ht="12.75">
      <c r="A49" s="206"/>
    </row>
    <row r="50" s="5" customFormat="1" ht="12.75">
      <c r="A50" s="206"/>
    </row>
    <row r="51" s="5" customFormat="1" ht="12.75">
      <c r="A51" s="206"/>
    </row>
    <row r="52" s="5" customFormat="1" ht="12.75">
      <c r="A52" s="206"/>
    </row>
    <row r="53" s="5" customFormat="1" ht="12.75">
      <c r="A53" s="206"/>
    </row>
    <row r="54" s="5" customFormat="1" ht="12.75">
      <c r="A54" s="206"/>
    </row>
    <row r="55" s="5" customFormat="1" ht="12.75">
      <c r="A55" s="206"/>
    </row>
    <row r="56" s="5" customFormat="1" ht="12.75">
      <c r="A56" s="206"/>
    </row>
    <row r="57" s="5" customFormat="1" ht="12.75">
      <c r="A57" s="206"/>
    </row>
    <row r="58" s="5" customFormat="1" ht="12.75">
      <c r="A58" s="206"/>
    </row>
    <row r="59" s="5" customFormat="1" ht="12.75">
      <c r="A59" s="206"/>
    </row>
    <row r="60" s="5" customFormat="1" ht="12.75">
      <c r="A60" s="206"/>
    </row>
    <row r="61" s="5" customFormat="1" ht="12.75">
      <c r="A61" s="206"/>
    </row>
  </sheetData>
  <sheetProtection/>
  <mergeCells count="2">
    <mergeCell ref="B2:D2"/>
    <mergeCell ref="B14:F14"/>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R76"/>
  <sheetViews>
    <sheetView workbookViewId="0" topLeftCell="A13">
      <selection activeCell="B3" sqref="B3"/>
    </sheetView>
  </sheetViews>
  <sheetFormatPr defaultColWidth="9.140625" defaultRowHeight="12.75" outlineLevelRow="1"/>
  <cols>
    <col min="1" max="1" width="9.140625" style="205" customWidth="1"/>
    <col min="2" max="2" width="15.8515625" style="0" customWidth="1"/>
    <col min="3" max="3" width="51.8515625" style="0" customWidth="1"/>
    <col min="4" max="4" width="17.421875" style="0" customWidth="1"/>
    <col min="5" max="5" width="17.7109375" style="0" customWidth="1"/>
    <col min="6" max="6" width="17.57421875" style="0" customWidth="1"/>
    <col min="7" max="7" width="12.57421875" style="0" customWidth="1"/>
    <col min="8" max="8" width="13.421875" style="0" customWidth="1"/>
  </cols>
  <sheetData>
    <row r="1" spans="2:6" ht="12.75">
      <c r="B1" s="358" t="s">
        <v>287</v>
      </c>
      <c r="C1" s="358"/>
      <c r="D1" s="358"/>
      <c r="E1" s="358"/>
      <c r="F1" s="358"/>
    </row>
    <row r="3" ht="12.75">
      <c r="B3" s="11" t="s">
        <v>75</v>
      </c>
    </row>
    <row r="4" ht="13.5" thickBot="1">
      <c r="B4" s="12"/>
    </row>
    <row r="5" spans="2:4" ht="12.75">
      <c r="B5" s="29" t="s">
        <v>76</v>
      </c>
      <c r="C5" s="219"/>
      <c r="D5" s="30"/>
    </row>
    <row r="6" spans="2:4" ht="12.75" outlineLevel="1">
      <c r="B6" s="14" t="s">
        <v>65</v>
      </c>
      <c r="C6" s="17" t="s">
        <v>211</v>
      </c>
      <c r="D6" s="79">
        <f>'Preliminary Information'!D7</f>
        <v>4000000000</v>
      </c>
    </row>
    <row r="7" spans="2:4" ht="12.75" outlineLevel="1">
      <c r="B7" s="14"/>
      <c r="C7" s="17" t="s">
        <v>96</v>
      </c>
      <c r="D7" s="33">
        <f>'Preliminary Information'!D8</f>
        <v>0.05</v>
      </c>
    </row>
    <row r="8" spans="2:4" ht="12.75" outlineLevel="1">
      <c r="B8" s="14"/>
      <c r="C8" s="17" t="s">
        <v>111</v>
      </c>
      <c r="D8" s="33">
        <f>'Preliminary Information'!D9</f>
        <v>0.1</v>
      </c>
    </row>
    <row r="9" spans="2:4" ht="12.75" outlineLevel="1">
      <c r="B9" s="14"/>
      <c r="C9" s="17" t="s">
        <v>169</v>
      </c>
      <c r="D9" s="33">
        <f>'Preliminary Information'!D10</f>
        <v>0.15</v>
      </c>
    </row>
    <row r="10" spans="2:4" ht="12.75" outlineLevel="1">
      <c r="B10" s="14"/>
      <c r="C10" s="17" t="s">
        <v>191</v>
      </c>
      <c r="D10" s="33">
        <f>'Preliminary Information'!D11</f>
        <v>0.01</v>
      </c>
    </row>
    <row r="11" spans="2:4" ht="13.5" outlineLevel="1" thickBot="1">
      <c r="B11" s="18"/>
      <c r="C11" s="197" t="s">
        <v>393</v>
      </c>
      <c r="D11" s="337">
        <f>D6*(1+D8)^4</f>
        <v>5856400000.000002</v>
      </c>
    </row>
    <row r="12" spans="2:4" ht="12.75" outlineLevel="1">
      <c r="B12" s="17"/>
      <c r="C12" s="17"/>
      <c r="D12" s="17" t="s">
        <v>65</v>
      </c>
    </row>
    <row r="13" spans="2:4" ht="12.75">
      <c r="B13" s="89"/>
      <c r="C13" s="17"/>
      <c r="D13" s="17"/>
    </row>
    <row r="14" spans="2:4" ht="13.5" thickBot="1">
      <c r="B14" s="89"/>
      <c r="C14" s="89" t="s">
        <v>386</v>
      </c>
      <c r="D14" s="17"/>
    </row>
    <row r="15" spans="2:6" ht="12.75">
      <c r="B15" s="29" t="s">
        <v>66</v>
      </c>
      <c r="C15" s="20"/>
      <c r="D15" s="56" t="s">
        <v>35</v>
      </c>
      <c r="E15" s="57" t="s">
        <v>36</v>
      </c>
      <c r="F15" s="57" t="s">
        <v>37</v>
      </c>
    </row>
    <row r="16" spans="2:6" ht="12.75">
      <c r="B16" s="204" t="s">
        <v>65</v>
      </c>
      <c r="C16" s="328" t="s">
        <v>268</v>
      </c>
      <c r="D16" s="199"/>
      <c r="E16" s="200"/>
      <c r="F16" s="200"/>
    </row>
    <row r="17" spans="2:7" ht="12.75" outlineLevel="1">
      <c r="B17" s="207"/>
      <c r="C17" s="64" t="s">
        <v>138</v>
      </c>
      <c r="D17" s="31">
        <f>'OOS_Regular Sales'!K38+'OOS_Regular Sales'!E46</f>
        <v>827509.3200000002</v>
      </c>
      <c r="E17" s="34">
        <f>'OOS_Regular Sales'!L38+'OOS_Regular Sales'!F46</f>
        <v>281107.20000000007</v>
      </c>
      <c r="F17" s="34">
        <f>'OOS_Regular Sales'!G46</f>
        <v>80000</v>
      </c>
      <c r="G17" s="41"/>
    </row>
    <row r="18" spans="2:6" ht="12.75" outlineLevel="1">
      <c r="B18" s="207"/>
      <c r="C18" s="64" t="s">
        <v>139</v>
      </c>
      <c r="D18" s="31">
        <f>'OOS_Regular Sales'!K78</f>
        <v>9332759.040000003</v>
      </c>
      <c r="E18" s="34">
        <f>'OOS_Regular Sales'!L78</f>
        <v>0</v>
      </c>
      <c r="F18" s="34">
        <v>0</v>
      </c>
    </row>
    <row r="19" spans="2:6" ht="12.75" outlineLevel="1">
      <c r="B19" s="207"/>
      <c r="C19" s="64" t="s">
        <v>67</v>
      </c>
      <c r="D19" s="31">
        <f>Shrinkage!K24+Shrinkage!E33</f>
        <v>6442040.000000002</v>
      </c>
      <c r="E19" s="34">
        <f>Shrinkage!L24+Shrinkage!F33</f>
        <v>0</v>
      </c>
      <c r="F19" s="34">
        <f>Shrinkage!M24+Shrinkage!G33</f>
        <v>23205344</v>
      </c>
    </row>
    <row r="20" spans="2:6" ht="12.75" outlineLevel="1">
      <c r="B20" s="207"/>
      <c r="C20" s="64" t="s">
        <v>68</v>
      </c>
      <c r="D20" s="31">
        <f>Diversion!K20</f>
        <v>0</v>
      </c>
      <c r="E20" s="31">
        <f>Diversion!L20</f>
        <v>316245.60000000015</v>
      </c>
      <c r="F20" s="31">
        <v>0</v>
      </c>
    </row>
    <row r="21" spans="2:6" ht="12.75" outlineLevel="1">
      <c r="B21" s="207"/>
      <c r="C21" s="64" t="s">
        <v>69</v>
      </c>
      <c r="D21" s="31">
        <f>Counterfeit!K19+Counterfeit!E30</f>
        <v>61492200.000000015</v>
      </c>
      <c r="E21" s="31">
        <f>Counterfeit!L19+Counterfeit!F30</f>
        <v>0</v>
      </c>
      <c r="F21" s="31">
        <f>Counterfeit!G30</f>
        <v>45000</v>
      </c>
    </row>
    <row r="22" spans="2:6" ht="12.75" outlineLevel="1">
      <c r="B22" s="207"/>
      <c r="C22" s="64" t="s">
        <v>297</v>
      </c>
      <c r="D22" s="31">
        <f>Reconciliation_Deduction!K25+Reconciliation_Deduction!E34</f>
        <v>15003820.000000004</v>
      </c>
      <c r="E22" s="31">
        <f>Reconciliation_Deduction!L25+Reconciliation_Deduction!F34</f>
        <v>1054152.0000000005</v>
      </c>
      <c r="F22" s="31">
        <f>Reconciliation_Deduction!G34</f>
        <v>52000</v>
      </c>
    </row>
    <row r="23" spans="2:6" ht="12.75" outlineLevel="1">
      <c r="B23" s="207"/>
      <c r="C23" s="64" t="s">
        <v>41</v>
      </c>
      <c r="D23" s="31">
        <f>Obsolescence!K23</f>
        <v>0</v>
      </c>
      <c r="E23" s="31">
        <v>0</v>
      </c>
      <c r="F23" s="31">
        <f>Obsolescence!M23</f>
        <v>13294028.000000004</v>
      </c>
    </row>
    <row r="24" spans="2:6" ht="12.75" outlineLevel="1">
      <c r="B24" s="207"/>
      <c r="C24" s="64" t="s">
        <v>70</v>
      </c>
      <c r="D24" s="31">
        <f>'Production Planning'!G23</f>
        <v>0</v>
      </c>
      <c r="E24" s="31">
        <f>'Production Planning'!H23</f>
        <v>0</v>
      </c>
      <c r="F24" s="31">
        <f>'Production Planning'!C29</f>
        <v>115000</v>
      </c>
    </row>
    <row r="25" spans="2:6" ht="12.75" outlineLevel="1">
      <c r="B25" s="207"/>
      <c r="C25" s="64" t="s">
        <v>71</v>
      </c>
      <c r="D25" s="31">
        <f>VMI_DSD!G21</f>
        <v>0</v>
      </c>
      <c r="E25" s="31">
        <f>VMI_DSD!H21</f>
        <v>0</v>
      </c>
      <c r="F25" s="31">
        <f>VMI_DSD!I21</f>
        <v>284600</v>
      </c>
    </row>
    <row r="26" spans="2:6" ht="12.75" outlineLevel="1">
      <c r="B26" s="207"/>
      <c r="C26" s="64" t="s">
        <v>60</v>
      </c>
      <c r="D26" s="31">
        <f>'Promotions Management'!K34+'Promotions Management'!G47+'Promotions Management'!D57</f>
        <v>75506565.20000003</v>
      </c>
      <c r="E26" s="31">
        <f>'Promotions Management'!L34+'Promotions Management'!H47+'Promotions Management'!E57</f>
        <v>1967750.4000000008</v>
      </c>
      <c r="F26" s="31">
        <f>'Promotions Management'!I47+'Promotions Management'!F57</f>
        <v>9000.2</v>
      </c>
    </row>
    <row r="27" spans="2:6" ht="12.75" outlineLevel="1">
      <c r="B27" s="207"/>
      <c r="C27" s="64" t="s">
        <v>209</v>
      </c>
      <c r="D27" s="31">
        <f>'Track and Trace'!F17</f>
        <v>0</v>
      </c>
      <c r="E27" s="31">
        <f>'Track and Trace'!G17</f>
        <v>0</v>
      </c>
      <c r="F27" s="31">
        <f>'Track and Trace'!H17</f>
        <v>98000</v>
      </c>
    </row>
    <row r="28" spans="2:6" ht="12.75" outlineLevel="1">
      <c r="B28" s="207"/>
      <c r="C28" s="64" t="s">
        <v>72</v>
      </c>
      <c r="D28" s="31">
        <f>Operatn_Efficiency!C40</f>
        <v>5856400.000000002</v>
      </c>
      <c r="E28" s="31">
        <v>0</v>
      </c>
      <c r="F28" s="31">
        <f>Operatn_Efficiency!C41</f>
        <v>1194391.4743251023</v>
      </c>
    </row>
    <row r="29" spans="2:6" ht="12.75" outlineLevel="1">
      <c r="B29" s="207"/>
      <c r="C29" s="64" t="s">
        <v>164</v>
      </c>
      <c r="D29" s="228">
        <f>-(('OOS_Regular Sales'!K26*OOS_Flag)+(Reconciliation_Deduction!E30*Recon_flag))</f>
        <v>-217581.28000000006</v>
      </c>
      <c r="E29" s="229">
        <f>-(('OOS_Regular Sales'!L31*OOS_Flag)+(Reconciliation_Deduction!L15*Recon_flag)+('Promotions Management'!L27*Promo_flag))</f>
        <v>-3303009.6000000015</v>
      </c>
      <c r="F29" s="229">
        <f>-(('OOS_Regular Sales'!G43*OOS_Flag)+('Promotions Management'!I42+'Promotions Management'!I44)*Promo_flag+('Track and Trace'!H15*TrackTrace_flag))</f>
        <v>-47000</v>
      </c>
    </row>
    <row r="30" spans="2:6" ht="12.75" outlineLevel="1">
      <c r="B30" s="207"/>
      <c r="C30" s="328" t="s">
        <v>269</v>
      </c>
      <c r="D30" s="122"/>
      <c r="E30" s="123"/>
      <c r="F30" s="123"/>
    </row>
    <row r="31" spans="2:6" ht="12.75" outlineLevel="1">
      <c r="B31" s="207"/>
      <c r="C31" s="64" t="s">
        <v>270</v>
      </c>
      <c r="D31" s="122"/>
      <c r="E31" s="123"/>
      <c r="F31" s="123">
        <f>'Production Planning'!C28</f>
        <v>400000</v>
      </c>
    </row>
    <row r="32" spans="2:6" ht="12.75" outlineLevel="1">
      <c r="B32" s="14"/>
      <c r="C32" s="64"/>
      <c r="D32" s="122"/>
      <c r="E32" s="123"/>
      <c r="F32" s="123"/>
    </row>
    <row r="33" spans="2:6" ht="13.5" outlineLevel="1" thickBot="1">
      <c r="B33" s="14"/>
      <c r="C33" s="329" t="s">
        <v>395</v>
      </c>
      <c r="D33" s="330">
        <f>SUM(D17:D29)</f>
        <v>174243712.28000006</v>
      </c>
      <c r="E33" s="331">
        <f>SUM(E17:E29)</f>
        <v>316245.6000000001</v>
      </c>
      <c r="F33" s="331">
        <f>SUM(F17:F29)</f>
        <v>38330363.67432511</v>
      </c>
    </row>
    <row r="34" spans="2:6" ht="13.5" outlineLevel="1" thickBot="1">
      <c r="B34" s="18"/>
      <c r="C34" s="124" t="s">
        <v>274</v>
      </c>
      <c r="D34" s="201">
        <f>D31</f>
        <v>0</v>
      </c>
      <c r="E34" s="201">
        <f>E31</f>
        <v>0</v>
      </c>
      <c r="F34" s="201">
        <f>F31</f>
        <v>400000</v>
      </c>
    </row>
    <row r="35" spans="2:5" ht="13.5" outlineLevel="1" thickBot="1">
      <c r="B35" s="14"/>
      <c r="C35" s="197"/>
      <c r="D35" s="198"/>
      <c r="E35" s="197"/>
    </row>
    <row r="36" spans="2:8" ht="13.5" thickBot="1">
      <c r="B36" s="29" t="s">
        <v>73</v>
      </c>
      <c r="C36" s="20"/>
      <c r="D36" s="119" t="s">
        <v>199</v>
      </c>
      <c r="E36" s="120" t="s">
        <v>200</v>
      </c>
      <c r="F36" s="120" t="s">
        <v>201</v>
      </c>
      <c r="G36" s="120" t="s">
        <v>202</v>
      </c>
      <c r="H36" s="120" t="s">
        <v>203</v>
      </c>
    </row>
    <row r="37" spans="2:8" ht="12.75" outlineLevel="1">
      <c r="B37" s="14" t="s">
        <v>65</v>
      </c>
      <c r="C37" s="64" t="s">
        <v>357</v>
      </c>
      <c r="D37" s="31">
        <f>$H37/(1+$D$8)^4*Costs!$C$9</f>
        <v>23802160.000000004</v>
      </c>
      <c r="E37" s="31">
        <f>$H37/(1+$D$8)^3*Costs!$D$9</f>
        <v>52364752</v>
      </c>
      <c r="F37" s="31">
        <f>H37/(1+$D$8)^2*Costs!$E$9</f>
        <v>86401840.80000001</v>
      </c>
      <c r="G37" s="31">
        <f>H37/(1+$D$8)*Costs!F9</f>
        <v>126722699.84000003</v>
      </c>
      <c r="H37" s="31">
        <f>(D33+D34)*Costs!G$9</f>
        <v>174243712.28000006</v>
      </c>
    </row>
    <row r="38" spans="2:8" ht="12.75" outlineLevel="1">
      <c r="B38" s="14"/>
      <c r="C38" s="64" t="s">
        <v>275</v>
      </c>
      <c r="D38" s="34">
        <f>$D$7*D37/(1+$D$7)</f>
        <v>1133436.1904761908</v>
      </c>
      <c r="E38" s="34">
        <f>$D$7*E37/(1+$D$7)</f>
        <v>2493559.619047619</v>
      </c>
      <c r="F38" s="31">
        <f>$D$7*F37/(1+$D$7)</f>
        <v>4114373.371428572</v>
      </c>
      <c r="G38" s="31">
        <f>$D$7*G37/(1+$D$7)</f>
        <v>6034414.27809524</v>
      </c>
      <c r="H38" s="31">
        <f>$D$7*H37/(1+$D$7)</f>
        <v>8297319.632380956</v>
      </c>
    </row>
    <row r="39" spans="2:8" ht="12.75" outlineLevel="1">
      <c r="B39" s="14"/>
      <c r="C39" s="64" t="s">
        <v>358</v>
      </c>
      <c r="D39" s="31">
        <f>$H39/(1+$D$8)^4*Costs!$C$9</f>
        <v>43200</v>
      </c>
      <c r="E39" s="31">
        <f>$H39/(1+$D$8)^3*Costs!$D$9</f>
        <v>95040</v>
      </c>
      <c r="F39" s="31">
        <f>H39/(1+$D$8)^2*Costs!$E$9</f>
        <v>156816</v>
      </c>
      <c r="G39" s="31">
        <f>H39/(1+D8)*Costs!F9</f>
        <v>229996.80000000005</v>
      </c>
      <c r="H39" s="34">
        <f>E33+E34</f>
        <v>316245.6000000001</v>
      </c>
    </row>
    <row r="40" spans="2:8" ht="12.75" outlineLevel="1">
      <c r="B40" s="14"/>
      <c r="C40" s="64" t="s">
        <v>223</v>
      </c>
      <c r="D40" s="31">
        <f>$H40/(1+$D$8)^4*Costs!$C$9</f>
        <v>5290671.90414932</v>
      </c>
      <c r="E40" s="31">
        <f>$H40/(1+$D$8)^3*Costs!$D$9</f>
        <v>11639478.189128503</v>
      </c>
      <c r="F40" s="31">
        <f>$H40/(1+$D$8)^2*Costs!$E$9</f>
        <v>19205139.012062036</v>
      </c>
      <c r="G40" s="31">
        <f>H40/(1+D8)*Costs!F9</f>
        <v>28167537.21769099</v>
      </c>
      <c r="H40" s="31">
        <f>F33+F34</f>
        <v>38730363.67432511</v>
      </c>
    </row>
    <row r="41" spans="2:8" ht="12.75" outlineLevel="1">
      <c r="B41" s="14"/>
      <c r="C41" s="64" t="s">
        <v>359</v>
      </c>
      <c r="D41" s="34">
        <f>Costs!C56</f>
        <v>4660000</v>
      </c>
      <c r="E41" s="34">
        <f>Costs!D56</f>
        <v>4690000</v>
      </c>
      <c r="F41" s="34">
        <f>Costs!E56</f>
        <v>7100000</v>
      </c>
      <c r="G41" s="34">
        <f>Costs!F56</f>
        <v>9480000</v>
      </c>
      <c r="H41" s="34">
        <f>Costs!G56</f>
        <v>11990000</v>
      </c>
    </row>
    <row r="42" spans="2:8" ht="12.75" outlineLevel="1">
      <c r="B42" s="14"/>
      <c r="C42" s="64" t="s">
        <v>360</v>
      </c>
      <c r="D42" s="122">
        <f>D38+D39+D40-D41</f>
        <v>1807308.0946255103</v>
      </c>
      <c r="E42" s="122">
        <f>E38+E39+E40-E41</f>
        <v>9538077.808176123</v>
      </c>
      <c r="F42" s="122">
        <f>F38+F39+F40-F41</f>
        <v>16376328.383490607</v>
      </c>
      <c r="G42" s="122">
        <f>G38+G39+G40-G41</f>
        <v>24951948.29578623</v>
      </c>
      <c r="H42" s="122">
        <f>H38+H39+H40-H41</f>
        <v>35353928.906706065</v>
      </c>
    </row>
    <row r="43" spans="2:8" ht="13.5" outlineLevel="1" thickBot="1">
      <c r="B43" s="18"/>
      <c r="C43" s="110" t="s">
        <v>204</v>
      </c>
      <c r="D43" s="35">
        <f>D42</f>
        <v>1807308.0946255103</v>
      </c>
      <c r="E43" s="88">
        <f>E42/(1+$D$9)</f>
        <v>8293980.702761847</v>
      </c>
      <c r="F43" s="88">
        <f>F42/(1+$D$9)^2</f>
        <v>12382857.000749044</v>
      </c>
      <c r="G43" s="88">
        <f>G42/(1+$D$9)^3</f>
        <v>16406311.035283135</v>
      </c>
      <c r="H43" s="88">
        <f>H42/(1+$D$9)^4</f>
        <v>20213723.596874554</v>
      </c>
    </row>
    <row r="44" spans="3:8" ht="12.75">
      <c r="C44" s="117" t="s">
        <v>296</v>
      </c>
      <c r="D44" s="118">
        <f>SUM(D43:H43)</f>
        <v>59104180.4302941</v>
      </c>
      <c r="E44" s="4"/>
      <c r="F44" s="4"/>
      <c r="G44" s="4"/>
      <c r="H44" s="4"/>
    </row>
    <row r="45" spans="4:8" ht="12.75">
      <c r="D45" s="208" t="s">
        <v>65</v>
      </c>
      <c r="E45" s="4" t="s">
        <v>65</v>
      </c>
      <c r="F45" s="4"/>
      <c r="G45" s="4"/>
      <c r="H45" s="4"/>
    </row>
    <row r="46" ht="13.5" thickBot="1"/>
    <row r="47" spans="2:18" ht="12.75">
      <c r="B47" s="19"/>
      <c r="C47" s="219"/>
      <c r="D47" s="219"/>
      <c r="E47" s="219"/>
      <c r="F47" s="219"/>
      <c r="G47" s="219"/>
      <c r="H47" s="219"/>
      <c r="I47" s="219"/>
      <c r="J47" s="219"/>
      <c r="K47" s="219"/>
      <c r="L47" s="219"/>
      <c r="M47" s="219"/>
      <c r="N47" s="219"/>
      <c r="O47" s="219"/>
      <c r="P47" s="219"/>
      <c r="Q47" s="219"/>
      <c r="R47" s="30"/>
    </row>
    <row r="48" spans="1:18" s="5" customFormat="1" ht="12.75">
      <c r="A48" s="206"/>
      <c r="B48" s="227" t="s">
        <v>361</v>
      </c>
      <c r="C48" s="163"/>
      <c r="D48" s="163"/>
      <c r="E48" s="163"/>
      <c r="F48" s="163"/>
      <c r="G48" s="163"/>
      <c r="H48" s="163"/>
      <c r="I48" s="163"/>
      <c r="J48" s="163"/>
      <c r="K48" s="163"/>
      <c r="L48" s="163"/>
      <c r="M48" s="163"/>
      <c r="N48" s="163"/>
      <c r="O48" s="163"/>
      <c r="P48" s="163"/>
      <c r="Q48" s="163"/>
      <c r="R48" s="221"/>
    </row>
    <row r="49" spans="1:18" s="5" customFormat="1" ht="12.75" hidden="1" outlineLevel="1">
      <c r="A49" s="206"/>
      <c r="B49" s="220"/>
      <c r="C49" s="163"/>
      <c r="D49" s="163"/>
      <c r="E49" s="163"/>
      <c r="F49" s="163"/>
      <c r="G49" s="163"/>
      <c r="H49" s="163"/>
      <c r="I49" s="163"/>
      <c r="J49" s="163"/>
      <c r="K49" s="163"/>
      <c r="L49" s="163"/>
      <c r="M49" s="163"/>
      <c r="N49" s="163"/>
      <c r="O49" s="163"/>
      <c r="P49" s="163"/>
      <c r="Q49" s="163"/>
      <c r="R49" s="221"/>
    </row>
    <row r="50" spans="1:18" s="5" customFormat="1" ht="12.75" hidden="1" outlineLevel="1">
      <c r="A50" s="206"/>
      <c r="B50" s="211" t="s">
        <v>21</v>
      </c>
      <c r="C50" s="163"/>
      <c r="D50" s="163"/>
      <c r="E50" s="154"/>
      <c r="F50" s="163"/>
      <c r="G50" s="163"/>
      <c r="H50" s="163"/>
      <c r="I50" s="163"/>
      <c r="J50" s="163"/>
      <c r="K50" s="163"/>
      <c r="L50" s="163"/>
      <c r="M50" s="163"/>
      <c r="N50" s="163"/>
      <c r="O50" s="163"/>
      <c r="P50" s="163"/>
      <c r="Q50" s="163"/>
      <c r="R50" s="221"/>
    </row>
    <row r="51" spans="1:18" s="5" customFormat="1" ht="12.75" hidden="1" outlineLevel="1">
      <c r="A51" s="206"/>
      <c r="B51" s="211" t="s">
        <v>22</v>
      </c>
      <c r="C51" s="163"/>
      <c r="D51" s="163"/>
      <c r="E51" s="163"/>
      <c r="F51" s="154"/>
      <c r="G51" s="163"/>
      <c r="H51" s="163"/>
      <c r="I51" s="163"/>
      <c r="J51" s="163"/>
      <c r="K51" s="163"/>
      <c r="L51" s="163"/>
      <c r="M51" s="163"/>
      <c r="N51" s="163"/>
      <c r="O51" s="163"/>
      <c r="P51" s="163"/>
      <c r="Q51" s="163"/>
      <c r="R51" s="221"/>
    </row>
    <row r="52" spans="1:18" s="5" customFormat="1" ht="12.75" outlineLevel="1">
      <c r="A52" s="206"/>
      <c r="B52" s="211"/>
      <c r="C52" s="163"/>
      <c r="D52" s="163"/>
      <c r="E52" s="163"/>
      <c r="F52" s="154"/>
      <c r="G52" s="163"/>
      <c r="H52" s="163"/>
      <c r="I52" s="163"/>
      <c r="J52" s="163"/>
      <c r="K52" s="163"/>
      <c r="L52" s="163"/>
      <c r="M52" s="163"/>
      <c r="N52" s="163"/>
      <c r="O52" s="163"/>
      <c r="P52" s="163"/>
      <c r="Q52" s="163"/>
      <c r="R52" s="221"/>
    </row>
    <row r="53" spans="1:18" s="5" customFormat="1" ht="12.75" outlineLevel="1">
      <c r="A53" s="206"/>
      <c r="B53" s="222" t="s">
        <v>23</v>
      </c>
      <c r="C53" s="163"/>
      <c r="D53" s="163"/>
      <c r="E53" s="163"/>
      <c r="F53" s="163"/>
      <c r="G53" s="163"/>
      <c r="H53" s="163"/>
      <c r="I53" s="163"/>
      <c r="J53" s="163"/>
      <c r="K53" s="163"/>
      <c r="L53" s="163"/>
      <c r="M53" s="163"/>
      <c r="N53" s="163"/>
      <c r="O53" s="163"/>
      <c r="P53" s="163"/>
      <c r="Q53" s="163"/>
      <c r="R53" s="221"/>
    </row>
    <row r="54" spans="1:18" s="5" customFormat="1" ht="12.75" outlineLevel="1">
      <c r="A54" s="206"/>
      <c r="B54" s="222"/>
      <c r="C54" s="163" t="s">
        <v>24</v>
      </c>
      <c r="D54" s="151">
        <f>('OOS_Regular Sales'!G38-'OOS_Regular Sales'!I38)/'OOS_Regular Sales'!G38</f>
        <v>0.23550000000000013</v>
      </c>
      <c r="E54" s="163"/>
      <c r="F54" s="163"/>
      <c r="G54" s="163"/>
      <c r="H54" s="163"/>
      <c r="I54" s="163"/>
      <c r="J54" s="163"/>
      <c r="K54" s="163"/>
      <c r="L54" s="163"/>
      <c r="M54" s="163"/>
      <c r="N54" s="163"/>
      <c r="O54" s="163"/>
      <c r="P54" s="163"/>
      <c r="Q54" s="163"/>
      <c r="R54" s="221"/>
    </row>
    <row r="55" spans="1:18" s="5" customFormat="1" ht="12.75" outlineLevel="1">
      <c r="A55" s="206"/>
      <c r="B55" s="222"/>
      <c r="C55" s="163" t="s">
        <v>25</v>
      </c>
      <c r="D55" s="151">
        <f>('OOS_Regular Sales'!G78-'OOS_Regular Sales'!I78)/'OOS_Regular Sales'!G78</f>
        <v>0.33199999999999985</v>
      </c>
      <c r="E55" s="163"/>
      <c r="F55" s="163"/>
      <c r="G55" s="163"/>
      <c r="H55" s="163"/>
      <c r="I55" s="163"/>
      <c r="J55" s="163"/>
      <c r="K55" s="163"/>
      <c r="L55" s="163"/>
      <c r="M55" s="163"/>
      <c r="N55" s="163"/>
      <c r="O55" s="163"/>
      <c r="P55" s="163"/>
      <c r="Q55" s="163"/>
      <c r="R55" s="221"/>
    </row>
    <row r="56" spans="1:18" s="5" customFormat="1" ht="12.75" outlineLevel="1">
      <c r="A56" s="206"/>
      <c r="B56" s="222"/>
      <c r="C56" s="163" t="s">
        <v>26</v>
      </c>
      <c r="D56" s="151">
        <f>('Promotions Management'!G34-'Promotions Management'!I34)/'Promotions Management'!G34</f>
        <v>0.37349999999999994</v>
      </c>
      <c r="E56" s="163"/>
      <c r="F56" s="163"/>
      <c r="G56" s="163"/>
      <c r="H56" s="163"/>
      <c r="I56" s="163"/>
      <c r="J56" s="163"/>
      <c r="K56" s="163"/>
      <c r="L56" s="163"/>
      <c r="M56" s="163"/>
      <c r="N56" s="163"/>
      <c r="O56" s="163"/>
      <c r="P56" s="163"/>
      <c r="Q56" s="163"/>
      <c r="R56" s="221"/>
    </row>
    <row r="57" spans="1:18" s="5" customFormat="1" ht="12.75" outlineLevel="1">
      <c r="A57" s="206"/>
      <c r="B57" s="222"/>
      <c r="C57" s="163"/>
      <c r="D57" s="151"/>
      <c r="E57" s="163"/>
      <c r="F57" s="163"/>
      <c r="G57" s="163"/>
      <c r="H57" s="163"/>
      <c r="I57" s="163"/>
      <c r="J57" s="163"/>
      <c r="K57" s="163"/>
      <c r="L57" s="163"/>
      <c r="M57" s="163"/>
      <c r="N57" s="163"/>
      <c r="O57" s="163"/>
      <c r="P57" s="163"/>
      <c r="Q57" s="163"/>
      <c r="R57" s="221"/>
    </row>
    <row r="58" spans="1:18" s="5" customFormat="1" ht="12.75" outlineLevel="1">
      <c r="A58" s="206"/>
      <c r="B58" s="222" t="s">
        <v>247</v>
      </c>
      <c r="C58" s="163"/>
      <c r="D58" s="151"/>
      <c r="E58" s="163"/>
      <c r="F58" s="163"/>
      <c r="G58" s="163"/>
      <c r="H58" s="163"/>
      <c r="I58" s="163"/>
      <c r="J58" s="163"/>
      <c r="K58" s="163"/>
      <c r="L58" s="163"/>
      <c r="M58" s="163"/>
      <c r="N58" s="163"/>
      <c r="O58" s="163"/>
      <c r="P58" s="163"/>
      <c r="Q58" s="163"/>
      <c r="R58" s="221"/>
    </row>
    <row r="59" spans="1:18" s="5" customFormat="1" ht="12.75" outlineLevel="1">
      <c r="A59" s="206"/>
      <c r="B59" s="222"/>
      <c r="C59" s="163" t="s">
        <v>248</v>
      </c>
      <c r="D59" s="151">
        <f>('OOS_Regular Sales'!F26-'OOS_Regular Sales'!H26)/'OOS_Regular Sales'!F26</f>
        <v>0.30000000000000004</v>
      </c>
      <c r="E59" s="163"/>
      <c r="F59" s="163"/>
      <c r="G59" s="163"/>
      <c r="H59" s="163"/>
      <c r="I59" s="163"/>
      <c r="J59" s="163"/>
      <c r="K59" s="163"/>
      <c r="L59" s="163"/>
      <c r="M59" s="163"/>
      <c r="N59" s="163"/>
      <c r="O59" s="163"/>
      <c r="P59" s="163"/>
      <c r="Q59" s="163"/>
      <c r="R59" s="221"/>
    </row>
    <row r="60" spans="1:18" s="5" customFormat="1" ht="12.75" outlineLevel="1">
      <c r="A60" s="206"/>
      <c r="B60" s="222"/>
      <c r="C60" s="163" t="s">
        <v>249</v>
      </c>
      <c r="D60" s="151">
        <f>('OOS_Regular Sales'!F71-'OOS_Regular Sales'!H71)/'OOS_Regular Sales'!F71</f>
        <v>0.8000000000000002</v>
      </c>
      <c r="E60" s="163"/>
      <c r="F60" s="163"/>
      <c r="G60" s="163"/>
      <c r="H60" s="163"/>
      <c r="I60" s="163"/>
      <c r="J60" s="163"/>
      <c r="K60" s="163"/>
      <c r="L60" s="163"/>
      <c r="M60" s="163"/>
      <c r="N60" s="163"/>
      <c r="O60" s="163"/>
      <c r="P60" s="163"/>
      <c r="Q60" s="163"/>
      <c r="R60" s="221"/>
    </row>
    <row r="61" spans="1:18" s="5" customFormat="1" ht="25.5" outlineLevel="1">
      <c r="A61" s="206"/>
      <c r="B61" s="222"/>
      <c r="C61" s="223" t="s">
        <v>250</v>
      </c>
      <c r="D61" s="151">
        <f>('Promotions Management'!F27-'Promotions Management'!H27)/'Promotions Management'!F27</f>
        <v>0.8</v>
      </c>
      <c r="E61" s="163"/>
      <c r="F61" s="163"/>
      <c r="G61" s="163"/>
      <c r="H61" s="163"/>
      <c r="I61" s="163"/>
      <c r="J61" s="163"/>
      <c r="K61" s="163"/>
      <c r="L61" s="163"/>
      <c r="M61" s="163"/>
      <c r="N61" s="163"/>
      <c r="O61" s="163"/>
      <c r="P61" s="163"/>
      <c r="Q61" s="163"/>
      <c r="R61" s="221"/>
    </row>
    <row r="62" spans="1:18" s="5" customFormat="1" ht="12.75" outlineLevel="1">
      <c r="A62" s="206"/>
      <c r="B62" s="222"/>
      <c r="C62" s="223"/>
      <c r="D62" s="151"/>
      <c r="E62" s="163"/>
      <c r="F62" s="163"/>
      <c r="G62" s="163"/>
      <c r="H62" s="163"/>
      <c r="I62" s="163"/>
      <c r="J62" s="163"/>
      <c r="K62" s="163"/>
      <c r="L62" s="163"/>
      <c r="M62" s="163"/>
      <c r="N62" s="163"/>
      <c r="O62" s="163"/>
      <c r="P62" s="163"/>
      <c r="Q62" s="163"/>
      <c r="R62" s="221"/>
    </row>
    <row r="63" spans="1:18" s="5" customFormat="1" ht="12.75" outlineLevel="1">
      <c r="A63" s="206"/>
      <c r="B63" s="222" t="s">
        <v>0</v>
      </c>
      <c r="C63" s="163"/>
      <c r="D63" s="151"/>
      <c r="E63" s="163"/>
      <c r="F63" s="163"/>
      <c r="G63" s="163"/>
      <c r="H63" s="163"/>
      <c r="I63" s="163"/>
      <c r="J63" s="163"/>
      <c r="K63" s="163"/>
      <c r="L63" s="163"/>
      <c r="M63" s="163"/>
      <c r="N63" s="163"/>
      <c r="O63" s="163"/>
      <c r="P63" s="163"/>
      <c r="Q63" s="163"/>
      <c r="R63" s="221"/>
    </row>
    <row r="64" spans="1:18" s="5" customFormat="1" ht="12.75" outlineLevel="1">
      <c r="A64" s="206"/>
      <c r="B64" s="222"/>
      <c r="C64" s="163" t="s">
        <v>252</v>
      </c>
      <c r="D64" s="151">
        <f>(Diversion!G20-Diversion!I20)/Diversion!G20</f>
        <v>0.5399999999999999</v>
      </c>
      <c r="E64" s="163"/>
      <c r="F64" s="163"/>
      <c r="G64" s="163"/>
      <c r="H64" s="163"/>
      <c r="I64" s="163"/>
      <c r="J64" s="163"/>
      <c r="K64" s="163"/>
      <c r="L64" s="163"/>
      <c r="M64" s="163"/>
      <c r="N64" s="163"/>
      <c r="O64" s="163"/>
      <c r="P64" s="163"/>
      <c r="Q64" s="163"/>
      <c r="R64" s="221"/>
    </row>
    <row r="65" spans="1:18" s="5" customFormat="1" ht="12.75" outlineLevel="1">
      <c r="A65" s="206"/>
      <c r="B65" s="222"/>
      <c r="C65" s="163"/>
      <c r="D65" s="151"/>
      <c r="E65" s="163"/>
      <c r="F65" s="163"/>
      <c r="G65" s="163"/>
      <c r="H65" s="163"/>
      <c r="I65" s="163"/>
      <c r="J65" s="163"/>
      <c r="K65" s="163"/>
      <c r="L65" s="163"/>
      <c r="M65" s="163"/>
      <c r="N65" s="163"/>
      <c r="O65" s="163"/>
      <c r="P65" s="163"/>
      <c r="Q65" s="163"/>
      <c r="R65" s="221"/>
    </row>
    <row r="66" spans="1:18" s="5" customFormat="1" ht="12.75" outlineLevel="1">
      <c r="A66" s="206"/>
      <c r="B66" s="222" t="s">
        <v>1</v>
      </c>
      <c r="C66" s="163"/>
      <c r="D66" s="151"/>
      <c r="E66" s="163"/>
      <c r="F66" s="163"/>
      <c r="G66" s="163"/>
      <c r="H66" s="163"/>
      <c r="I66" s="163"/>
      <c r="J66" s="163"/>
      <c r="K66" s="163"/>
      <c r="L66" s="163"/>
      <c r="M66" s="163"/>
      <c r="N66" s="163"/>
      <c r="O66" s="163"/>
      <c r="P66" s="163"/>
      <c r="Q66" s="163"/>
      <c r="R66" s="221"/>
    </row>
    <row r="67" spans="1:18" s="5" customFormat="1" ht="12.75" outlineLevel="1">
      <c r="A67" s="206"/>
      <c r="B67" s="222"/>
      <c r="C67" s="163" t="s">
        <v>251</v>
      </c>
      <c r="D67" s="151">
        <f>(Counterfeit!G19-Counterfeit!I19)/Counterfeit!G19</f>
        <v>0.52</v>
      </c>
      <c r="E67" s="163"/>
      <c r="F67" s="163"/>
      <c r="G67" s="163"/>
      <c r="H67" s="163"/>
      <c r="I67" s="163"/>
      <c r="J67" s="163"/>
      <c r="K67" s="163"/>
      <c r="L67" s="163"/>
      <c r="M67" s="163"/>
      <c r="N67" s="163"/>
      <c r="O67" s="163"/>
      <c r="P67" s="163"/>
      <c r="Q67" s="163"/>
      <c r="R67" s="221"/>
    </row>
    <row r="68" spans="1:18" s="5" customFormat="1" ht="12.75" outlineLevel="1">
      <c r="A68" s="206"/>
      <c r="B68" s="222"/>
      <c r="C68" s="163"/>
      <c r="D68" s="151"/>
      <c r="E68" s="163"/>
      <c r="F68" s="163"/>
      <c r="G68" s="163"/>
      <c r="H68" s="163"/>
      <c r="I68" s="163"/>
      <c r="J68" s="163"/>
      <c r="K68" s="163"/>
      <c r="L68" s="163"/>
      <c r="M68" s="163"/>
      <c r="N68" s="163"/>
      <c r="O68" s="163"/>
      <c r="P68" s="163"/>
      <c r="Q68" s="163"/>
      <c r="R68" s="221"/>
    </row>
    <row r="69" spans="1:18" s="5" customFormat="1" ht="12.75" outlineLevel="1">
      <c r="A69" s="206"/>
      <c r="B69" s="222" t="s">
        <v>2</v>
      </c>
      <c r="C69" s="163"/>
      <c r="D69" s="151"/>
      <c r="E69" s="163"/>
      <c r="F69" s="163"/>
      <c r="G69" s="163"/>
      <c r="H69" s="163"/>
      <c r="I69" s="163"/>
      <c r="J69" s="163"/>
      <c r="K69" s="163"/>
      <c r="L69" s="163"/>
      <c r="M69" s="163"/>
      <c r="N69" s="163"/>
      <c r="O69" s="163"/>
      <c r="P69" s="163"/>
      <c r="Q69" s="163"/>
      <c r="R69" s="221"/>
    </row>
    <row r="70" spans="1:18" s="5" customFormat="1" ht="12.75" outlineLevel="1">
      <c r="A70" s="206"/>
      <c r="B70" s="222"/>
      <c r="C70" s="163" t="s">
        <v>362</v>
      </c>
      <c r="D70" s="151">
        <f>'Production Planning'!E23/'Production Planning'!C23</f>
        <v>0.011153221440173253</v>
      </c>
      <c r="E70" s="163"/>
      <c r="F70" s="163"/>
      <c r="G70" s="163"/>
      <c r="H70" s="163"/>
      <c r="I70" s="163"/>
      <c r="J70" s="163"/>
      <c r="K70" s="163"/>
      <c r="L70" s="163"/>
      <c r="M70" s="163"/>
      <c r="N70" s="163"/>
      <c r="O70" s="163"/>
      <c r="P70" s="163"/>
      <c r="Q70" s="163"/>
      <c r="R70" s="221"/>
    </row>
    <row r="71" spans="1:18" s="5" customFormat="1" ht="12.75" outlineLevel="1">
      <c r="A71" s="206"/>
      <c r="B71" s="222"/>
      <c r="C71" s="163"/>
      <c r="D71" s="151"/>
      <c r="E71" s="163"/>
      <c r="F71" s="163"/>
      <c r="G71" s="163"/>
      <c r="H71" s="163"/>
      <c r="I71" s="163"/>
      <c r="J71" s="163"/>
      <c r="K71" s="163"/>
      <c r="L71" s="163"/>
      <c r="M71" s="163"/>
      <c r="N71" s="163"/>
      <c r="O71" s="163"/>
      <c r="P71" s="163"/>
      <c r="Q71" s="163"/>
      <c r="R71" s="221"/>
    </row>
    <row r="72" spans="1:18" s="5" customFormat="1" ht="12.75" outlineLevel="1">
      <c r="A72" s="206"/>
      <c r="B72" s="222" t="s">
        <v>253</v>
      </c>
      <c r="C72" s="163"/>
      <c r="D72" s="151"/>
      <c r="E72" s="163"/>
      <c r="F72" s="163"/>
      <c r="G72" s="163"/>
      <c r="H72" s="163"/>
      <c r="I72" s="163"/>
      <c r="J72" s="163"/>
      <c r="K72" s="163"/>
      <c r="L72" s="163"/>
      <c r="M72" s="163"/>
      <c r="N72" s="163"/>
      <c r="O72" s="163"/>
      <c r="P72" s="163"/>
      <c r="Q72" s="163"/>
      <c r="R72" s="221"/>
    </row>
    <row r="73" spans="1:18" s="5" customFormat="1" ht="12.75" outlineLevel="1">
      <c r="A73" s="206"/>
      <c r="B73" s="222"/>
      <c r="C73" s="163"/>
      <c r="D73" s="151"/>
      <c r="E73" s="163"/>
      <c r="F73" s="163"/>
      <c r="G73" s="163"/>
      <c r="H73" s="163"/>
      <c r="I73" s="163"/>
      <c r="J73" s="163"/>
      <c r="K73" s="163"/>
      <c r="L73" s="163"/>
      <c r="M73" s="163"/>
      <c r="N73" s="163"/>
      <c r="O73" s="163"/>
      <c r="P73" s="163"/>
      <c r="Q73" s="163"/>
      <c r="R73" s="221"/>
    </row>
    <row r="74" spans="1:18" s="5" customFormat="1" ht="12.75" outlineLevel="1">
      <c r="A74" s="206"/>
      <c r="B74" s="222" t="s">
        <v>254</v>
      </c>
      <c r="C74" s="163"/>
      <c r="D74" s="151"/>
      <c r="E74" s="163"/>
      <c r="F74" s="163"/>
      <c r="G74" s="163"/>
      <c r="H74" s="163"/>
      <c r="I74" s="163"/>
      <c r="J74" s="163"/>
      <c r="K74" s="163"/>
      <c r="L74" s="163"/>
      <c r="M74" s="163"/>
      <c r="N74" s="163"/>
      <c r="O74" s="163"/>
      <c r="P74" s="163"/>
      <c r="Q74" s="163"/>
      <c r="R74" s="221"/>
    </row>
    <row r="75" spans="1:18" s="5" customFormat="1" ht="12.75" outlineLevel="1">
      <c r="A75" s="206"/>
      <c r="B75" s="222"/>
      <c r="C75" s="163" t="s">
        <v>255</v>
      </c>
      <c r="D75" s="151">
        <f>Operatn_Efficiency!C27</f>
        <v>0.12</v>
      </c>
      <c r="E75" s="163"/>
      <c r="F75" s="163"/>
      <c r="G75" s="163"/>
      <c r="H75" s="163"/>
      <c r="I75" s="163"/>
      <c r="J75" s="163"/>
      <c r="K75" s="163"/>
      <c r="L75" s="163"/>
      <c r="M75" s="163"/>
      <c r="N75" s="163"/>
      <c r="O75" s="163"/>
      <c r="P75" s="163"/>
      <c r="Q75" s="163"/>
      <c r="R75" s="221"/>
    </row>
    <row r="76" spans="1:18" s="5" customFormat="1" ht="13.5" thickBot="1">
      <c r="A76" s="206"/>
      <c r="B76" s="224"/>
      <c r="C76" s="214"/>
      <c r="D76" s="225"/>
      <c r="E76" s="214"/>
      <c r="F76" s="214"/>
      <c r="G76" s="214"/>
      <c r="H76" s="214"/>
      <c r="I76" s="214"/>
      <c r="J76" s="214"/>
      <c r="K76" s="214"/>
      <c r="L76" s="214"/>
      <c r="M76" s="214"/>
      <c r="N76" s="214"/>
      <c r="O76" s="214"/>
      <c r="P76" s="214"/>
      <c r="Q76" s="214"/>
      <c r="R76" s="226"/>
    </row>
  </sheetData>
  <sheetProtection/>
  <mergeCells count="1">
    <mergeCell ref="B1:F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G59"/>
  <sheetViews>
    <sheetView workbookViewId="0" topLeftCell="A1">
      <selection activeCell="G60" sqref="G60"/>
    </sheetView>
  </sheetViews>
  <sheetFormatPr defaultColWidth="9.140625" defaultRowHeight="12.75" outlineLevelRow="2"/>
  <cols>
    <col min="1" max="1" width="15.57421875" style="0" customWidth="1"/>
    <col min="2" max="2" width="49.7109375" style="0" customWidth="1"/>
    <col min="3" max="3" width="13.28125" style="97" customWidth="1"/>
    <col min="4" max="4" width="13.140625" style="2" customWidth="1"/>
    <col min="5" max="7" width="13.140625" style="0" customWidth="1"/>
  </cols>
  <sheetData>
    <row r="1" ht="12.75">
      <c r="A1" s="13" t="s">
        <v>77</v>
      </c>
    </row>
    <row r="3" ht="12.75">
      <c r="A3" s="11" t="s">
        <v>75</v>
      </c>
    </row>
    <row r="4" ht="13.5" thickBot="1">
      <c r="A4" s="12"/>
    </row>
    <row r="5" spans="1:3" ht="12.75">
      <c r="A5" s="12"/>
      <c r="B5" s="19" t="s">
        <v>387</v>
      </c>
      <c r="C5" s="209">
        <v>8</v>
      </c>
    </row>
    <row r="6" spans="1:3" ht="13.5" thickBot="1">
      <c r="A6" s="12"/>
      <c r="B6" s="18" t="s">
        <v>390</v>
      </c>
      <c r="C6" s="345">
        <v>5</v>
      </c>
    </row>
    <row r="7" spans="1:4" s="41" customFormat="1" ht="13.5" thickBot="1">
      <c r="A7" s="12"/>
      <c r="C7" s="99"/>
      <c r="D7" s="334"/>
    </row>
    <row r="8" spans="1:7" s="41" customFormat="1" ht="13.5" thickBot="1">
      <c r="A8" s="12"/>
      <c r="C8" s="20" t="s">
        <v>199</v>
      </c>
      <c r="D8" s="30" t="s">
        <v>200</v>
      </c>
      <c r="E8" s="30" t="s">
        <v>201</v>
      </c>
      <c r="F8" s="30" t="s">
        <v>202</v>
      </c>
      <c r="G8" s="30" t="s">
        <v>203</v>
      </c>
    </row>
    <row r="9" spans="1:7" s="41" customFormat="1" ht="13.5" thickBot="1">
      <c r="A9" s="12"/>
      <c r="B9" s="336" t="s">
        <v>391</v>
      </c>
      <c r="C9" s="346">
        <v>0.2</v>
      </c>
      <c r="D9" s="347">
        <v>0.4</v>
      </c>
      <c r="E9" s="348">
        <v>0.6</v>
      </c>
      <c r="F9" s="348">
        <v>0.8</v>
      </c>
      <c r="G9" s="335">
        <v>1</v>
      </c>
    </row>
    <row r="10" ht="13.5" thickBot="1">
      <c r="A10" s="12"/>
    </row>
    <row r="11" spans="1:7" ht="13.5" thickBot="1">
      <c r="A11" s="142" t="s">
        <v>398</v>
      </c>
      <c r="C11" s="119" t="s">
        <v>199</v>
      </c>
      <c r="D11" s="120" t="s">
        <v>200</v>
      </c>
      <c r="E11" s="120" t="s">
        <v>201</v>
      </c>
      <c r="F11" s="120" t="s">
        <v>202</v>
      </c>
      <c r="G11" s="120" t="s">
        <v>203</v>
      </c>
    </row>
    <row r="12" spans="2:7" ht="12.75" outlineLevel="2">
      <c r="B12" s="179" t="s">
        <v>62</v>
      </c>
      <c r="C12" s="209">
        <v>1</v>
      </c>
      <c r="D12" s="209">
        <v>2</v>
      </c>
      <c r="E12" s="209">
        <v>4</v>
      </c>
      <c r="F12" s="209">
        <v>6</v>
      </c>
      <c r="G12" s="333">
        <f>C5</f>
        <v>8</v>
      </c>
    </row>
    <row r="13" spans="2:7" ht="12.75" outlineLevel="2">
      <c r="B13" s="64" t="s">
        <v>388</v>
      </c>
      <c r="C13" s="332">
        <f>C12/$C$5</f>
        <v>0.125</v>
      </c>
      <c r="D13" s="332">
        <f>D12/$C$5</f>
        <v>0.25</v>
      </c>
      <c r="E13" s="332">
        <f>E12/$C$5</f>
        <v>0.5</v>
      </c>
      <c r="F13" s="332">
        <f>F12/$C$5</f>
        <v>0.75</v>
      </c>
      <c r="G13" s="332">
        <f>G12/$C$5</f>
        <v>1</v>
      </c>
    </row>
    <row r="14" spans="2:7" ht="12.75" outlineLevel="2">
      <c r="B14" s="180" t="s">
        <v>112</v>
      </c>
      <c r="C14" s="189"/>
      <c r="D14" s="189"/>
      <c r="E14" s="189"/>
      <c r="F14" s="189"/>
      <c r="G14" s="189"/>
    </row>
    <row r="15" spans="2:7" ht="12.75" outlineLevel="2">
      <c r="B15" s="64" t="s">
        <v>113</v>
      </c>
      <c r="C15" s="210">
        <v>500000</v>
      </c>
      <c r="D15" s="210">
        <v>200000</v>
      </c>
      <c r="E15" s="210">
        <v>200000</v>
      </c>
      <c r="F15" s="210">
        <v>200000</v>
      </c>
      <c r="G15" s="210">
        <v>200000</v>
      </c>
    </row>
    <row r="16" spans="2:7" ht="12.75" outlineLevel="2">
      <c r="B16" s="64" t="s">
        <v>114</v>
      </c>
      <c r="C16" s="210">
        <v>800000</v>
      </c>
      <c r="D16" s="210">
        <v>0</v>
      </c>
      <c r="E16" s="210">
        <v>0</v>
      </c>
      <c r="F16" s="210">
        <v>0</v>
      </c>
      <c r="G16" s="210">
        <v>0</v>
      </c>
    </row>
    <row r="17" spans="2:7" ht="12.75" outlineLevel="2">
      <c r="B17" s="64" t="s">
        <v>256</v>
      </c>
      <c r="C17" s="210">
        <v>200000</v>
      </c>
      <c r="D17" s="210">
        <v>200000</v>
      </c>
      <c r="E17" s="210">
        <v>150000</v>
      </c>
      <c r="F17" s="210">
        <v>100000</v>
      </c>
      <c r="G17" s="210">
        <v>100000</v>
      </c>
    </row>
    <row r="18" spans="2:7" ht="12.75" outlineLevel="2">
      <c r="B18" s="64" t="s">
        <v>116</v>
      </c>
      <c r="C18" s="210">
        <v>100000</v>
      </c>
      <c r="D18" s="210">
        <v>100000</v>
      </c>
      <c r="E18" s="210">
        <v>100000</v>
      </c>
      <c r="F18" s="210">
        <v>100000</v>
      </c>
      <c r="G18" s="210">
        <v>100000</v>
      </c>
    </row>
    <row r="19" spans="2:7" ht="12.75" outlineLevel="2">
      <c r="B19" s="64" t="s">
        <v>117</v>
      </c>
      <c r="C19" s="210">
        <v>200000</v>
      </c>
      <c r="D19" s="210">
        <v>200000</v>
      </c>
      <c r="E19" s="210">
        <v>180000</v>
      </c>
      <c r="F19" s="210">
        <v>150000</v>
      </c>
      <c r="G19" s="210">
        <v>100000</v>
      </c>
    </row>
    <row r="20" spans="2:7" ht="12.75" outlineLevel="1">
      <c r="B20" s="65" t="s">
        <v>380</v>
      </c>
      <c r="C20" s="191">
        <f>SUM(C15:C19)</f>
        <v>1800000</v>
      </c>
      <c r="D20" s="191">
        <f>SUM(D15:D19)</f>
        <v>700000</v>
      </c>
      <c r="E20" s="191">
        <f>SUM(E15:E19)</f>
        <v>630000</v>
      </c>
      <c r="F20" s="191">
        <f>SUM(F15:F19)</f>
        <v>550000</v>
      </c>
      <c r="G20" s="191">
        <f>SUM(G15:G19)</f>
        <v>500000</v>
      </c>
    </row>
    <row r="21" spans="2:7" ht="12.75" outlineLevel="1">
      <c r="B21" s="64"/>
      <c r="C21" s="192"/>
      <c r="D21" s="192"/>
      <c r="E21" s="192"/>
      <c r="F21" s="192"/>
      <c r="G21" s="192"/>
    </row>
    <row r="22" spans="2:7" ht="12.75" outlineLevel="2">
      <c r="B22" s="180" t="s">
        <v>381</v>
      </c>
      <c r="C22" s="192"/>
      <c r="D22" s="192"/>
      <c r="E22" s="192"/>
      <c r="F22" s="192"/>
      <c r="G22" s="192"/>
    </row>
    <row r="23" spans="2:7" ht="12.75" outlineLevel="2">
      <c r="B23" s="64" t="s">
        <v>118</v>
      </c>
      <c r="C23" s="210">
        <v>500000</v>
      </c>
      <c r="D23" s="210">
        <v>500000</v>
      </c>
      <c r="E23" s="210">
        <v>500000</v>
      </c>
      <c r="F23" s="210">
        <v>500000</v>
      </c>
      <c r="G23" s="210">
        <v>500000</v>
      </c>
    </row>
    <row r="24" spans="2:7" ht="12.75" outlineLevel="2">
      <c r="B24" s="64" t="s">
        <v>119</v>
      </c>
      <c r="C24" s="210">
        <v>50000</v>
      </c>
      <c r="D24" s="210">
        <v>50000</v>
      </c>
      <c r="E24" s="210">
        <v>50000</v>
      </c>
      <c r="F24" s="210">
        <v>50000</v>
      </c>
      <c r="G24" s="210">
        <v>50000</v>
      </c>
    </row>
    <row r="25" spans="2:7" ht="12.75" outlineLevel="2">
      <c r="B25" s="64" t="s">
        <v>120</v>
      </c>
      <c r="C25" s="210">
        <v>180000</v>
      </c>
      <c r="D25" s="210">
        <v>180000</v>
      </c>
      <c r="E25" s="210">
        <v>180000</v>
      </c>
      <c r="F25" s="210">
        <v>180000</v>
      </c>
      <c r="G25" s="210">
        <v>180000</v>
      </c>
    </row>
    <row r="26" spans="2:7" ht="12.75" outlineLevel="2">
      <c r="B26" s="64" t="s">
        <v>121</v>
      </c>
      <c r="C26" s="210">
        <v>50000</v>
      </c>
      <c r="D26" s="210">
        <v>50000</v>
      </c>
      <c r="E26" s="210">
        <v>50000</v>
      </c>
      <c r="F26" s="210">
        <v>50000</v>
      </c>
      <c r="G26" s="210">
        <v>50000</v>
      </c>
    </row>
    <row r="27" spans="2:7" ht="12.75" outlineLevel="2">
      <c r="B27" s="64" t="s">
        <v>122</v>
      </c>
      <c r="C27" s="210">
        <v>50000</v>
      </c>
      <c r="D27" s="210">
        <v>50000</v>
      </c>
      <c r="E27" s="210">
        <v>50000</v>
      </c>
      <c r="F27" s="210">
        <v>50000</v>
      </c>
      <c r="G27" s="210">
        <v>50000</v>
      </c>
    </row>
    <row r="28" spans="2:7" ht="13.5" outlineLevel="2" thickBot="1">
      <c r="B28" s="109" t="s">
        <v>385</v>
      </c>
      <c r="C28" s="190">
        <f>SUM(C23:C27)</f>
        <v>830000</v>
      </c>
      <c r="D28" s="190">
        <f>SUM(D23:D27)</f>
        <v>830000</v>
      </c>
      <c r="E28" s="190">
        <f>SUM(E23:E27)</f>
        <v>830000</v>
      </c>
      <c r="F28" s="190">
        <f>SUM(F23:F27)</f>
        <v>830000</v>
      </c>
      <c r="G28" s="190">
        <f>SUM(G23:G27)</f>
        <v>830000</v>
      </c>
    </row>
    <row r="29" spans="2:7" ht="13.5" outlineLevel="1" thickBot="1">
      <c r="B29" s="67" t="s">
        <v>382</v>
      </c>
      <c r="C29" s="193">
        <f>C12*SUM(C23:C27)</f>
        <v>830000</v>
      </c>
      <c r="D29" s="193">
        <f>D12*SUM(D23:D27)</f>
        <v>1660000</v>
      </c>
      <c r="E29" s="193">
        <f>E12*SUM(E23:E27)</f>
        <v>3320000</v>
      </c>
      <c r="F29" s="193">
        <f>F12*SUM(F23:F27)</f>
        <v>4980000</v>
      </c>
      <c r="G29" s="193">
        <f>G12*SUM(G23:G27)</f>
        <v>6640000</v>
      </c>
    </row>
    <row r="30" ht="12.75" outlineLevel="1">
      <c r="C30" s="194"/>
    </row>
    <row r="32" ht="13.5" thickBot="1"/>
    <row r="33" spans="1:7" ht="13.5" thickBot="1">
      <c r="A33" s="142" t="s">
        <v>63</v>
      </c>
      <c r="C33" s="119" t="s">
        <v>199</v>
      </c>
      <c r="D33" s="120" t="s">
        <v>200</v>
      </c>
      <c r="E33" s="120" t="s">
        <v>201</v>
      </c>
      <c r="F33" s="120" t="s">
        <v>202</v>
      </c>
      <c r="G33" s="120" t="s">
        <v>203</v>
      </c>
    </row>
    <row r="34" spans="2:7" ht="12.75" outlineLevel="2">
      <c r="B34" s="179" t="s">
        <v>61</v>
      </c>
      <c r="C34" s="209">
        <v>1</v>
      </c>
      <c r="D34" s="209">
        <v>2</v>
      </c>
      <c r="E34" s="209">
        <v>3</v>
      </c>
      <c r="F34" s="209">
        <v>4</v>
      </c>
      <c r="G34" s="333">
        <f>C6</f>
        <v>5</v>
      </c>
    </row>
    <row r="35" spans="2:7" ht="12.75" outlineLevel="2">
      <c r="B35" s="64" t="s">
        <v>389</v>
      </c>
      <c r="C35" s="332">
        <f>C34/$C$6</f>
        <v>0.2</v>
      </c>
      <c r="D35" s="332">
        <f>D34/$C$6</f>
        <v>0.4</v>
      </c>
      <c r="E35" s="332">
        <f>E34/$C$6</f>
        <v>0.6</v>
      </c>
      <c r="F35" s="332">
        <f>F34/$C$6</f>
        <v>0.8</v>
      </c>
      <c r="G35" s="332">
        <f>G34/$C$6</f>
        <v>1</v>
      </c>
    </row>
    <row r="36" spans="2:7" ht="12.75" outlineLevel="2">
      <c r="B36" s="180" t="s">
        <v>123</v>
      </c>
      <c r="C36" s="189"/>
      <c r="D36" s="189"/>
      <c r="E36" s="189"/>
      <c r="F36" s="189"/>
      <c r="G36" s="189"/>
    </row>
    <row r="37" spans="2:7" ht="12.75" outlineLevel="2">
      <c r="B37" s="64" t="s">
        <v>113</v>
      </c>
      <c r="C37" s="210">
        <v>400000</v>
      </c>
      <c r="D37" s="210">
        <v>100000</v>
      </c>
      <c r="E37" s="210">
        <v>100000</v>
      </c>
      <c r="F37" s="210">
        <v>100000</v>
      </c>
      <c r="G37" s="210">
        <v>100000</v>
      </c>
    </row>
    <row r="38" spans="2:7" ht="12.75" outlineLevel="2">
      <c r="B38" s="64" t="s">
        <v>114</v>
      </c>
      <c r="C38" s="210">
        <v>300000</v>
      </c>
      <c r="D38" s="210">
        <v>0</v>
      </c>
      <c r="E38" s="210">
        <v>0</v>
      </c>
      <c r="F38" s="210">
        <v>0</v>
      </c>
      <c r="G38" s="210">
        <v>0</v>
      </c>
    </row>
    <row r="39" spans="2:7" ht="12.75" outlineLevel="2">
      <c r="B39" s="64" t="s">
        <v>115</v>
      </c>
      <c r="C39" s="210">
        <v>200000</v>
      </c>
      <c r="D39" s="210">
        <v>200000</v>
      </c>
      <c r="E39" s="210">
        <v>150000</v>
      </c>
      <c r="F39" s="210">
        <v>100000</v>
      </c>
      <c r="G39" s="210">
        <v>100000</v>
      </c>
    </row>
    <row r="40" spans="2:7" ht="12.75" outlineLevel="2">
      <c r="B40" s="64" t="s">
        <v>116</v>
      </c>
      <c r="C40" s="210">
        <v>50000</v>
      </c>
      <c r="D40" s="210">
        <v>50000</v>
      </c>
      <c r="E40" s="210">
        <v>50000</v>
      </c>
      <c r="F40" s="210">
        <v>50000</v>
      </c>
      <c r="G40" s="210">
        <v>50000</v>
      </c>
    </row>
    <row r="41" spans="2:7" ht="12.75" outlineLevel="2">
      <c r="B41" s="64" t="s">
        <v>117</v>
      </c>
      <c r="C41" s="210">
        <v>180000</v>
      </c>
      <c r="D41" s="210">
        <v>180000</v>
      </c>
      <c r="E41" s="210">
        <v>150000</v>
      </c>
      <c r="F41" s="210">
        <v>100000</v>
      </c>
      <c r="G41" s="210">
        <v>100000</v>
      </c>
    </row>
    <row r="42" spans="2:7" ht="12.75" outlineLevel="1">
      <c r="B42" s="65" t="s">
        <v>383</v>
      </c>
      <c r="C42" s="191">
        <f>SUM(C37:C41)</f>
        <v>1130000</v>
      </c>
      <c r="D42" s="191">
        <f>SUM(D37:D41)</f>
        <v>530000</v>
      </c>
      <c r="E42" s="191">
        <f>SUM(E37:E41)</f>
        <v>450000</v>
      </c>
      <c r="F42" s="191">
        <f>SUM(F37:F41)</f>
        <v>350000</v>
      </c>
      <c r="G42" s="191">
        <f>SUM(G37:G41)</f>
        <v>350000</v>
      </c>
    </row>
    <row r="43" spans="2:7" ht="12.75" outlineLevel="1">
      <c r="B43" s="66"/>
      <c r="C43" s="190"/>
      <c r="D43" s="190"/>
      <c r="E43" s="190"/>
      <c r="F43" s="190"/>
      <c r="G43" s="190"/>
    </row>
    <row r="44" spans="2:7" ht="12.75" outlineLevel="2">
      <c r="B44" s="180" t="s">
        <v>124</v>
      </c>
      <c r="C44" s="190"/>
      <c r="D44" s="190"/>
      <c r="E44" s="190"/>
      <c r="F44" s="190"/>
      <c r="G44" s="190"/>
    </row>
    <row r="45" spans="2:7" ht="12.75" outlineLevel="2">
      <c r="B45" s="64" t="s">
        <v>125</v>
      </c>
      <c r="C45" s="210">
        <v>500000</v>
      </c>
      <c r="D45" s="210">
        <v>500000</v>
      </c>
      <c r="E45" s="210">
        <v>500000</v>
      </c>
      <c r="F45" s="210">
        <v>500000</v>
      </c>
      <c r="G45" s="210">
        <v>500000</v>
      </c>
    </row>
    <row r="46" spans="2:7" ht="12.75" outlineLevel="2">
      <c r="B46" s="64" t="s">
        <v>126</v>
      </c>
      <c r="C46" s="210">
        <v>50000</v>
      </c>
      <c r="D46" s="210">
        <v>50000</v>
      </c>
      <c r="E46" s="210">
        <v>50000</v>
      </c>
      <c r="F46" s="210">
        <v>50000</v>
      </c>
      <c r="G46" s="210">
        <v>50000</v>
      </c>
    </row>
    <row r="47" spans="2:7" ht="12.75" outlineLevel="2">
      <c r="B47" s="64" t="s">
        <v>127</v>
      </c>
      <c r="C47" s="210">
        <v>250000</v>
      </c>
      <c r="D47" s="210">
        <v>250000</v>
      </c>
      <c r="E47" s="210">
        <v>250000</v>
      </c>
      <c r="F47" s="210">
        <v>250000</v>
      </c>
      <c r="G47" s="210">
        <v>250000</v>
      </c>
    </row>
    <row r="48" spans="2:7" ht="12.75" outlineLevel="2">
      <c r="B48" s="64" t="s">
        <v>121</v>
      </c>
      <c r="C48" s="210">
        <v>50000</v>
      </c>
      <c r="D48" s="210">
        <v>50000</v>
      </c>
      <c r="E48" s="210">
        <v>50000</v>
      </c>
      <c r="F48" s="210">
        <v>50000</v>
      </c>
      <c r="G48" s="210">
        <v>50000</v>
      </c>
    </row>
    <row r="49" spans="2:7" ht="12.75" outlineLevel="2">
      <c r="B49" s="64" t="s">
        <v>122</v>
      </c>
      <c r="C49" s="210">
        <v>50000</v>
      </c>
      <c r="D49" s="210">
        <v>50000</v>
      </c>
      <c r="E49" s="210">
        <v>50000</v>
      </c>
      <c r="F49" s="210">
        <v>50000</v>
      </c>
      <c r="G49" s="210">
        <v>50000</v>
      </c>
    </row>
    <row r="50" spans="2:7" ht="13.5" outlineLevel="2" thickBot="1">
      <c r="B50" s="109" t="s">
        <v>385</v>
      </c>
      <c r="C50" s="190">
        <f>SUM(C45:C49)</f>
        <v>900000</v>
      </c>
      <c r="D50" s="190">
        <f>SUM(D45:D49)</f>
        <v>900000</v>
      </c>
      <c r="E50" s="190">
        <f>SUM(E45:E49)</f>
        <v>900000</v>
      </c>
      <c r="F50" s="190">
        <f>SUM(F45:F49)</f>
        <v>900000</v>
      </c>
      <c r="G50" s="190">
        <f>SUM(G45:G49)</f>
        <v>900000</v>
      </c>
    </row>
    <row r="51" spans="2:7" ht="13.5" outlineLevel="1" thickBot="1">
      <c r="B51" s="67" t="s">
        <v>384</v>
      </c>
      <c r="C51" s="193">
        <f>C34*SUM(C45:C49)</f>
        <v>900000</v>
      </c>
      <c r="D51" s="193">
        <f>D34*SUM(D45:D49)</f>
        <v>1800000</v>
      </c>
      <c r="E51" s="193">
        <f>E34*SUM(E45:E49)</f>
        <v>2700000</v>
      </c>
      <c r="F51" s="193">
        <f>F34*SUM(F45:F49)</f>
        <v>3600000</v>
      </c>
      <c r="G51" s="193">
        <f>G34*SUM(G45:G49)</f>
        <v>4500000</v>
      </c>
    </row>
    <row r="52" spans="3:4" ht="12.75" outlineLevel="1">
      <c r="C52" s="194"/>
      <c r="D52" s="1"/>
    </row>
    <row r="53" spans="3:4" ht="12.75">
      <c r="C53" s="194"/>
      <c r="D53" s="1"/>
    </row>
    <row r="54" spans="3:4" ht="13.5" thickBot="1">
      <c r="C54" s="194"/>
      <c r="D54" s="1"/>
    </row>
    <row r="55" spans="1:7" ht="13.5" thickBot="1">
      <c r="A55" s="142" t="s">
        <v>64</v>
      </c>
      <c r="C55" s="119" t="s">
        <v>199</v>
      </c>
      <c r="D55" s="120" t="s">
        <v>200</v>
      </c>
      <c r="E55" s="120" t="s">
        <v>201</v>
      </c>
      <c r="F55" s="120" t="s">
        <v>202</v>
      </c>
      <c r="G55" s="120" t="s">
        <v>203</v>
      </c>
    </row>
    <row r="56" spans="2:7" ht="13.5" outlineLevel="1" thickBot="1">
      <c r="B56" s="54" t="s">
        <v>379</v>
      </c>
      <c r="C56" s="327">
        <f>C20+C29+C42+C51</f>
        <v>4660000</v>
      </c>
      <c r="D56" s="193">
        <f>D20+D29+D42+D51</f>
        <v>4690000</v>
      </c>
      <c r="E56" s="193">
        <f>E20+E29+E42+E51</f>
        <v>7100000</v>
      </c>
      <c r="F56" s="193">
        <f>F20+F29+F42+F51</f>
        <v>9480000</v>
      </c>
      <c r="G56" s="193">
        <f>G20+G29+G42+G51</f>
        <v>11990000</v>
      </c>
    </row>
    <row r="57" spans="3:7" ht="12.75" outlineLevel="1">
      <c r="C57" s="194"/>
      <c r="D57" s="194"/>
      <c r="E57" s="194"/>
      <c r="F57" s="194"/>
      <c r="G57" s="194"/>
    </row>
    <row r="58" ht="12.75">
      <c r="C58" s="194"/>
    </row>
    <row r="59" ht="12.75">
      <c r="C59" s="194"/>
    </row>
  </sheetData>
  <sheetProtection sheet="1" scenarios="1"/>
  <protectedRanges>
    <protectedRange sqref="C45:G49 C23:G27 C34:G34 C37:G41 C15:G19" name="Cost_2"/>
    <protectedRange sqref="C12:G12" name="Cost_1"/>
  </protectedRange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B2:L78"/>
  <sheetViews>
    <sheetView workbookViewId="0" topLeftCell="A1">
      <selection activeCell="F12" sqref="F12"/>
    </sheetView>
  </sheetViews>
  <sheetFormatPr defaultColWidth="9.140625" defaultRowHeight="12.75" outlineLevelRow="2"/>
  <cols>
    <col min="1" max="1" width="3.7109375" style="0" customWidth="1"/>
    <col min="2" max="2" width="51.28125" style="0" customWidth="1"/>
    <col min="4" max="4" width="12.8515625" style="0" customWidth="1"/>
    <col min="5" max="5" width="14.140625" style="41" customWidth="1"/>
    <col min="6" max="7" width="9.57421875" style="21" customWidth="1"/>
    <col min="9" max="9" width="8.140625" style="0" customWidth="1"/>
    <col min="10" max="10" width="4.00390625" style="5" customWidth="1"/>
    <col min="11" max="11" width="11.7109375" style="0" customWidth="1"/>
    <col min="12" max="12" width="12.421875" style="0" customWidth="1"/>
  </cols>
  <sheetData>
    <row r="2" spans="2:3" ht="12.75">
      <c r="B2" s="13" t="s">
        <v>59</v>
      </c>
      <c r="C2" s="205">
        <f>IF('Preliminary Information'!D16,1,0)</f>
        <v>1</v>
      </c>
    </row>
    <row r="3" spans="2:10" s="97" customFormat="1" ht="43.5" customHeight="1">
      <c r="B3" s="373" t="s">
        <v>350</v>
      </c>
      <c r="C3" s="374"/>
      <c r="D3" s="374"/>
      <c r="E3" s="374"/>
      <c r="F3" s="374"/>
      <c r="G3" s="374"/>
      <c r="H3" s="374"/>
      <c r="J3" s="5"/>
    </row>
    <row r="4" spans="2:10" s="97" customFormat="1" ht="9.75" customHeight="1">
      <c r="B4" s="187"/>
      <c r="C4" s="186"/>
      <c r="D4" s="186"/>
      <c r="E4" s="186"/>
      <c r="F4" s="186"/>
      <c r="G4" s="186"/>
      <c r="H4" s="186"/>
      <c r="J4" s="5"/>
    </row>
    <row r="5" spans="2:10" s="99" customFormat="1" ht="12.75">
      <c r="B5" s="175" t="s">
        <v>276</v>
      </c>
      <c r="F5" s="139"/>
      <c r="G5" s="139"/>
      <c r="J5" s="5"/>
    </row>
    <row r="6" spans="2:10" s="99" customFormat="1" ht="12.75">
      <c r="B6" s="175" t="s">
        <v>277</v>
      </c>
      <c r="F6" s="139"/>
      <c r="G6" s="139"/>
      <c r="J6" s="5"/>
    </row>
    <row r="7" spans="6:10" s="41" customFormat="1" ht="12.75">
      <c r="F7" s="78"/>
      <c r="G7" s="78"/>
      <c r="J7" s="5"/>
    </row>
    <row r="8" ht="13.5" thickBot="1">
      <c r="B8" s="11" t="s">
        <v>75</v>
      </c>
    </row>
    <row r="9" spans="2:5" ht="12.75" outlineLevel="1">
      <c r="B9" s="340" t="s">
        <v>128</v>
      </c>
      <c r="C9" s="219"/>
      <c r="D9" s="219"/>
      <c r="E9" s="339">
        <f>Summary!D6</f>
        <v>4000000000</v>
      </c>
    </row>
    <row r="10" spans="2:5" ht="12.75" outlineLevel="1">
      <c r="B10" s="14" t="s">
        <v>394</v>
      </c>
      <c r="C10" s="59" t="s">
        <v>65</v>
      </c>
      <c r="D10" s="377">
        <f>Summary!D11</f>
        <v>5856400000.000002</v>
      </c>
      <c r="E10" s="378"/>
    </row>
    <row r="11" spans="2:5" ht="12.75" outlineLevel="1">
      <c r="B11" s="14" t="s">
        <v>396</v>
      </c>
      <c r="C11" s="248">
        <v>0.6</v>
      </c>
      <c r="D11" s="377">
        <f>D10*C11</f>
        <v>3513840000.000001</v>
      </c>
      <c r="E11" s="379"/>
    </row>
    <row r="12" spans="2:5" ht="12.75" outlineLevel="1">
      <c r="B12" s="14" t="s">
        <v>397</v>
      </c>
      <c r="C12" s="349">
        <v>0.01</v>
      </c>
      <c r="D12" s="371">
        <f>C12*D11</f>
        <v>35138400.00000001</v>
      </c>
      <c r="E12" s="372"/>
    </row>
    <row r="13" spans="2:5" ht="13.5" outlineLevel="1" thickBot="1">
      <c r="B13" s="18" t="s">
        <v>279</v>
      </c>
      <c r="C13" s="239">
        <v>0.1</v>
      </c>
      <c r="D13" s="325">
        <f>C13*D12</f>
        <v>3513840.000000001</v>
      </c>
      <c r="E13" s="326"/>
    </row>
    <row r="14" spans="3:4" ht="12.75" outlineLevel="1">
      <c r="C14" s="3"/>
      <c r="D14" s="3" t="s">
        <v>65</v>
      </c>
    </row>
    <row r="15" ht="12.75" outlineLevel="1">
      <c r="C15" s="3">
        <v>0.5</v>
      </c>
    </row>
    <row r="16" spans="3:7" ht="12.75" outlineLevel="1">
      <c r="C16" s="3"/>
      <c r="G16" s="21" t="s">
        <v>65</v>
      </c>
    </row>
    <row r="17" spans="3:7" ht="13.5" outlineLevel="1" thickBot="1">
      <c r="C17" s="3"/>
      <c r="D17" s="3" t="s">
        <v>65</v>
      </c>
      <c r="G17" s="21" t="s">
        <v>65</v>
      </c>
    </row>
    <row r="18" spans="2:12" ht="51.75" outlineLevel="1" thickBot="1">
      <c r="B18" s="48" t="s">
        <v>141</v>
      </c>
      <c r="C18" s="370" t="s">
        <v>83</v>
      </c>
      <c r="D18" s="363"/>
      <c r="E18" s="46" t="s">
        <v>363</v>
      </c>
      <c r="F18" s="364" t="s">
        <v>86</v>
      </c>
      <c r="G18" s="365"/>
      <c r="H18" s="366" t="s">
        <v>364</v>
      </c>
      <c r="I18" s="367"/>
      <c r="K18" s="47" t="s">
        <v>35</v>
      </c>
      <c r="L18" s="43" t="s">
        <v>36</v>
      </c>
    </row>
    <row r="19" spans="2:12" ht="12.75" outlineLevel="1">
      <c r="B19" s="143" t="s">
        <v>97</v>
      </c>
      <c r="C19" s="145" t="s">
        <v>84</v>
      </c>
      <c r="D19" s="231">
        <v>0.4</v>
      </c>
      <c r="E19" s="44"/>
      <c r="F19" s="24"/>
      <c r="G19" s="22">
        <f>D19*$C$12*$C$13</f>
        <v>0.0004</v>
      </c>
      <c r="H19" s="24"/>
      <c r="I19" s="33">
        <f>H20+H21</f>
        <v>0.000374</v>
      </c>
      <c r="K19" s="49">
        <f>K20+K21</f>
        <v>91359.84000000005</v>
      </c>
      <c r="L19" s="49">
        <f>L20+L21</f>
        <v>0</v>
      </c>
    </row>
    <row r="20" spans="2:12" ht="12.75" outlineLevel="2">
      <c r="B20" s="27" t="s">
        <v>98</v>
      </c>
      <c r="C20" s="232">
        <v>0.3</v>
      </c>
      <c r="D20" s="15"/>
      <c r="E20" s="236">
        <v>0.1</v>
      </c>
      <c r="F20" s="24">
        <f>G19*C20</f>
        <v>0.00012</v>
      </c>
      <c r="G20" s="22" t="s">
        <v>65</v>
      </c>
      <c r="H20" s="45">
        <f>F20*(1-E20)</f>
        <v>0.00010800000000000001</v>
      </c>
      <c r="I20" s="33"/>
      <c r="K20" s="34">
        <f>(F20-H20)*$D$11</f>
        <v>42166.07999999999</v>
      </c>
      <c r="L20" s="31">
        <v>0</v>
      </c>
    </row>
    <row r="21" spans="2:12" ht="12.75" outlineLevel="2">
      <c r="B21" s="27" t="s">
        <v>130</v>
      </c>
      <c r="C21" s="25">
        <f>1-C20</f>
        <v>0.7</v>
      </c>
      <c r="D21" s="15"/>
      <c r="E21" s="236">
        <v>0.05</v>
      </c>
      <c r="F21" s="24">
        <f>G19*C21</f>
        <v>0.00028</v>
      </c>
      <c r="G21" s="22" t="s">
        <v>65</v>
      </c>
      <c r="H21" s="45">
        <f>F21*(1-E21)</f>
        <v>0.00026599999999999996</v>
      </c>
      <c r="I21" s="33"/>
      <c r="K21" s="34">
        <f>(F21-H21)*$D$11</f>
        <v>49193.76000000007</v>
      </c>
      <c r="L21" s="31">
        <v>0</v>
      </c>
    </row>
    <row r="22" spans="2:12" ht="12.75" outlineLevel="1">
      <c r="B22" s="143" t="s">
        <v>99</v>
      </c>
      <c r="C22" s="143" t="s">
        <v>84</v>
      </c>
      <c r="D22" s="231">
        <v>0.2</v>
      </c>
      <c r="E22" s="44"/>
      <c r="F22" s="24"/>
      <c r="G22" s="22">
        <f>D22*$C$12*$C$13</f>
        <v>0.0002</v>
      </c>
      <c r="H22" s="45" t="s">
        <v>65</v>
      </c>
      <c r="I22" s="33">
        <f>SUM(H23:H26)</f>
        <v>0.00014</v>
      </c>
      <c r="K22" s="49">
        <f>SUM(K23:K26)</f>
        <v>210830.40000000008</v>
      </c>
      <c r="L22" s="49">
        <f>L23+L24+L25</f>
        <v>0</v>
      </c>
    </row>
    <row r="23" spans="2:12" ht="12.75" outlineLevel="2">
      <c r="B23" s="50" t="s">
        <v>100</v>
      </c>
      <c r="C23" s="232">
        <v>0.1</v>
      </c>
      <c r="D23" s="15"/>
      <c r="E23" s="236">
        <v>0.5</v>
      </c>
      <c r="F23" s="24">
        <f>$G$22*C23</f>
        <v>2E-05</v>
      </c>
      <c r="G23" s="22" t="s">
        <v>65</v>
      </c>
      <c r="H23" s="45">
        <f>F23*(1-E23)</f>
        <v>1E-05</v>
      </c>
      <c r="I23" s="15"/>
      <c r="K23" s="34">
        <f>(F23-H23)*$D$11</f>
        <v>35138.400000000016</v>
      </c>
      <c r="L23" s="31">
        <v>0</v>
      </c>
    </row>
    <row r="24" spans="2:12" ht="12.75" outlineLevel="2">
      <c r="B24" s="50" t="s">
        <v>134</v>
      </c>
      <c r="C24" s="232">
        <v>0.1</v>
      </c>
      <c r="D24" s="15"/>
      <c r="E24" s="236">
        <v>0.3</v>
      </c>
      <c r="F24" s="24">
        <f>$G$22*C24</f>
        <v>2E-05</v>
      </c>
      <c r="G24" s="22" t="s">
        <v>65</v>
      </c>
      <c r="H24" s="45">
        <f>F24*(1-E24)</f>
        <v>1.4E-05</v>
      </c>
      <c r="I24" s="33"/>
      <c r="K24" s="34">
        <f>(F24-H24)*$D$11</f>
        <v>21083.04000000001</v>
      </c>
      <c r="L24" s="31">
        <v>0</v>
      </c>
    </row>
    <row r="25" spans="2:12" ht="12.75" outlineLevel="2">
      <c r="B25" s="27" t="s">
        <v>101</v>
      </c>
      <c r="C25" s="232">
        <v>0.1</v>
      </c>
      <c r="D25" s="15"/>
      <c r="E25" s="236">
        <v>0.1</v>
      </c>
      <c r="F25" s="24">
        <f>$G$22*C25</f>
        <v>2E-05</v>
      </c>
      <c r="G25" s="22" t="s">
        <v>65</v>
      </c>
      <c r="H25" s="45">
        <f>F25*(1-E25)</f>
        <v>1.8E-05</v>
      </c>
      <c r="I25" s="33"/>
      <c r="K25" s="34">
        <f>(F25-H25)*$D$11</f>
        <v>7027.680000000006</v>
      </c>
      <c r="L25" s="31">
        <v>0</v>
      </c>
    </row>
    <row r="26" spans="2:12" ht="12.75" outlineLevel="2">
      <c r="B26" s="27" t="s">
        <v>212</v>
      </c>
      <c r="C26" s="26">
        <f>1-SUM(C23:C25)</f>
        <v>0.7</v>
      </c>
      <c r="D26" s="15"/>
      <c r="E26" s="236">
        <v>0.3</v>
      </c>
      <c r="F26" s="24">
        <f>$G$22*C26</f>
        <v>0.00014</v>
      </c>
      <c r="G26" s="22"/>
      <c r="H26" s="45">
        <f>F26*(1-E26)</f>
        <v>9.799999999999998E-05</v>
      </c>
      <c r="I26" s="33"/>
      <c r="K26" s="34">
        <f>(F26-H26)*$D$11</f>
        <v>147581.28000000006</v>
      </c>
      <c r="L26" s="31">
        <v>0</v>
      </c>
    </row>
    <row r="27" spans="2:12" ht="12.75" outlineLevel="1">
      <c r="B27" s="143" t="s">
        <v>78</v>
      </c>
      <c r="C27" s="143" t="s">
        <v>84</v>
      </c>
      <c r="D27" s="231">
        <v>0.2</v>
      </c>
      <c r="E27" s="350"/>
      <c r="F27" s="24"/>
      <c r="G27" s="22">
        <f>D27*$C$12*$C$13</f>
        <v>0.0002</v>
      </c>
      <c r="H27" s="45" t="s">
        <v>65</v>
      </c>
      <c r="I27" s="33">
        <f>SUM(H28:H32)</f>
        <v>0.00010199999999999999</v>
      </c>
      <c r="K27" s="49">
        <f>K28+K29+K30+K31+K32</f>
        <v>344356.32000000007</v>
      </c>
      <c r="L27" s="49">
        <f>L28+L29+L30+L31+L32</f>
        <v>281107.20000000007</v>
      </c>
    </row>
    <row r="28" spans="2:12" ht="12.75" outlineLevel="2">
      <c r="B28" s="27" t="s">
        <v>81</v>
      </c>
      <c r="C28" s="232">
        <v>0.1</v>
      </c>
      <c r="D28" s="16" t="s">
        <v>65</v>
      </c>
      <c r="E28" s="236">
        <v>0.1</v>
      </c>
      <c r="F28" s="24">
        <f>$G$27*C28</f>
        <v>2E-05</v>
      </c>
      <c r="G28" s="22" t="s">
        <v>65</v>
      </c>
      <c r="H28" s="45">
        <f>F28*(1-E28)</f>
        <v>1.8E-05</v>
      </c>
      <c r="I28" s="33"/>
      <c r="K28" s="34">
        <f>(F28-H28)*$D$11</f>
        <v>7027.680000000006</v>
      </c>
      <c r="L28" s="31">
        <v>0</v>
      </c>
    </row>
    <row r="29" spans="2:12" ht="12.75" outlineLevel="2">
      <c r="B29" s="27" t="s">
        <v>79</v>
      </c>
      <c r="C29" s="232">
        <v>0.3</v>
      </c>
      <c r="D29" s="15"/>
      <c r="E29" s="236">
        <v>0</v>
      </c>
      <c r="F29" s="24">
        <f>$G$27*C29</f>
        <v>6E-05</v>
      </c>
      <c r="G29" s="22" t="s">
        <v>65</v>
      </c>
      <c r="H29" s="45">
        <f>F29*(1-E29)</f>
        <v>6E-05</v>
      </c>
      <c r="I29" s="33"/>
      <c r="K29" s="34">
        <f>(F29-H29)*$D$11</f>
        <v>0</v>
      </c>
      <c r="L29" s="31">
        <v>0</v>
      </c>
    </row>
    <row r="30" spans="2:12" ht="12.75" outlineLevel="2">
      <c r="B30" s="27" t="s">
        <v>102</v>
      </c>
      <c r="C30" s="232">
        <v>0.3</v>
      </c>
      <c r="D30" s="15"/>
      <c r="E30" s="236">
        <v>0.8</v>
      </c>
      <c r="F30" s="24">
        <f>$G$27*C30</f>
        <v>6E-05</v>
      </c>
      <c r="G30" s="22" t="s">
        <v>65</v>
      </c>
      <c r="H30" s="45">
        <f>F30*(1-E30)</f>
        <v>1.1999999999999997E-05</v>
      </c>
      <c r="I30" s="33"/>
      <c r="K30" s="34">
        <f>(F30-H30)*$D$11</f>
        <v>168664.32000000004</v>
      </c>
      <c r="L30" s="31">
        <v>0</v>
      </c>
    </row>
    <row r="31" spans="2:12" ht="12.75" outlineLevel="2">
      <c r="B31" s="27" t="s">
        <v>213</v>
      </c>
      <c r="C31" s="232">
        <v>0.3</v>
      </c>
      <c r="D31" s="15"/>
      <c r="E31" s="236">
        <v>0.8</v>
      </c>
      <c r="F31" s="24">
        <f>$G$27*C31</f>
        <v>6E-05</v>
      </c>
      <c r="G31" s="22" t="s">
        <v>65</v>
      </c>
      <c r="H31" s="45">
        <f>F31*(1-E31)</f>
        <v>1.1999999999999997E-05</v>
      </c>
      <c r="I31" s="33"/>
      <c r="K31" s="34">
        <f>(F31-H31)*$D$11</f>
        <v>168664.32000000004</v>
      </c>
      <c r="L31" s="31">
        <f>(F31-H31)*$D$10</f>
        <v>281107.20000000007</v>
      </c>
    </row>
    <row r="32" spans="2:12" ht="12.75" outlineLevel="2">
      <c r="B32" s="27" t="s">
        <v>131</v>
      </c>
      <c r="C32" s="26">
        <f>1-SUM(C28:C31)</f>
        <v>0</v>
      </c>
      <c r="D32" s="15"/>
      <c r="E32" s="236">
        <v>0.8</v>
      </c>
      <c r="F32" s="24">
        <f>$G$27*C32</f>
        <v>0</v>
      </c>
      <c r="G32" s="22" t="s">
        <v>65</v>
      </c>
      <c r="H32" s="45">
        <f>F32*(1-E32)</f>
        <v>0</v>
      </c>
      <c r="I32" s="33"/>
      <c r="K32" s="34">
        <f>(F32-H32)*$D$11</f>
        <v>0</v>
      </c>
      <c r="L32" s="31">
        <v>0</v>
      </c>
    </row>
    <row r="33" spans="2:12" ht="12.75" outlineLevel="1">
      <c r="B33" s="143" t="s">
        <v>80</v>
      </c>
      <c r="C33" s="143" t="s">
        <v>84</v>
      </c>
      <c r="D33" s="231">
        <v>0.05</v>
      </c>
      <c r="E33" s="350" t="s">
        <v>65</v>
      </c>
      <c r="F33" s="24"/>
      <c r="G33" s="22">
        <f>D33*$C$12*$C$13</f>
        <v>5E-05</v>
      </c>
      <c r="H33" s="45" t="s">
        <v>65</v>
      </c>
      <c r="I33" s="33">
        <f>SUM(H34:H36)</f>
        <v>2.85E-05</v>
      </c>
      <c r="K33" s="49">
        <f>K34+K35+K36</f>
        <v>75547.56000000003</v>
      </c>
      <c r="L33" s="49">
        <f>L34+L35+L36</f>
        <v>0</v>
      </c>
    </row>
    <row r="34" spans="2:12" ht="12.75" outlineLevel="2">
      <c r="B34" s="27" t="s">
        <v>89</v>
      </c>
      <c r="C34" s="232">
        <v>0.3</v>
      </c>
      <c r="D34" s="15"/>
      <c r="E34" s="236">
        <v>0.8</v>
      </c>
      <c r="F34" s="24">
        <f>$G$33*C34</f>
        <v>1.5E-05</v>
      </c>
      <c r="G34" s="22" t="s">
        <v>65</v>
      </c>
      <c r="H34" s="45">
        <f>F34*(1-E34)</f>
        <v>2.9999999999999992E-06</v>
      </c>
      <c r="I34" s="33"/>
      <c r="K34" s="34">
        <f>(F34-H34)*$D$11</f>
        <v>42166.08000000001</v>
      </c>
      <c r="L34" s="31">
        <v>0</v>
      </c>
    </row>
    <row r="35" spans="2:12" ht="12.75" outlineLevel="2">
      <c r="B35" s="27" t="s">
        <v>88</v>
      </c>
      <c r="C35" s="232">
        <v>0.3</v>
      </c>
      <c r="D35" s="15"/>
      <c r="E35" s="236">
        <v>0.5</v>
      </c>
      <c r="F35" s="24">
        <f>$G$33*C35</f>
        <v>1.5E-05</v>
      </c>
      <c r="G35" s="22" t="s">
        <v>65</v>
      </c>
      <c r="H35" s="45">
        <f>F35*(1-E35)</f>
        <v>7.5E-06</v>
      </c>
      <c r="I35" s="33"/>
      <c r="K35" s="34">
        <f>(F35-H35)*$D$11</f>
        <v>26353.800000000007</v>
      </c>
      <c r="L35" s="31">
        <v>0</v>
      </c>
    </row>
    <row r="36" spans="2:12" ht="12.75" outlineLevel="2">
      <c r="B36" s="27" t="s">
        <v>82</v>
      </c>
      <c r="C36" s="26">
        <f>1-SUM(C34:C35)</f>
        <v>0.4</v>
      </c>
      <c r="D36" s="15"/>
      <c r="E36" s="236">
        <v>0.1</v>
      </c>
      <c r="F36" s="24">
        <f>$G$33*C36</f>
        <v>2E-05</v>
      </c>
      <c r="G36" s="22" t="s">
        <v>65</v>
      </c>
      <c r="H36" s="45">
        <f>F36*(1-E36)</f>
        <v>1.8E-05</v>
      </c>
      <c r="I36" s="33"/>
      <c r="K36" s="34">
        <f>(F36-H36)*$D$11</f>
        <v>7027.680000000006</v>
      </c>
      <c r="L36" s="31">
        <v>0</v>
      </c>
    </row>
    <row r="37" spans="2:12" ht="12.75" outlineLevel="1">
      <c r="B37" s="144" t="s">
        <v>103</v>
      </c>
      <c r="C37" s="145" t="s">
        <v>84</v>
      </c>
      <c r="D37" s="16">
        <f>1-(D19+D22+D27+D33)</f>
        <v>0.1499999999999999</v>
      </c>
      <c r="E37" s="236">
        <v>0.2</v>
      </c>
      <c r="F37" s="51">
        <f>G37</f>
        <v>0.00014999999999999993</v>
      </c>
      <c r="G37" s="22">
        <f>D37*$C$12*$C$13</f>
        <v>0.00014999999999999993</v>
      </c>
      <c r="H37" s="44">
        <f>F37*(1-E37)</f>
        <v>0.00011999999999999995</v>
      </c>
      <c r="I37" s="33">
        <f>H37</f>
        <v>0.00011999999999999995</v>
      </c>
      <c r="K37" s="49">
        <f>(F37-H37)*$D$11</f>
        <v>105415.19999999997</v>
      </c>
      <c r="L37" s="52">
        <v>0</v>
      </c>
    </row>
    <row r="38" spans="2:12" ht="13.5" outlineLevel="1" thickBot="1">
      <c r="B38" s="18"/>
      <c r="C38" s="36" t="s">
        <v>85</v>
      </c>
      <c r="D38" s="37">
        <f>D19+D22+D27+D33+D37</f>
        <v>1</v>
      </c>
      <c r="E38" s="42"/>
      <c r="F38" s="38">
        <f>SUM(F19:F37)</f>
        <v>0.0010000000000000002</v>
      </c>
      <c r="G38" s="38">
        <f>SUM(G19:G37)</f>
        <v>0.001</v>
      </c>
      <c r="H38" s="38">
        <f>SUM(H19:H37)</f>
        <v>0.0007645</v>
      </c>
      <c r="I38" s="38">
        <f>SUM(I19:I37)</f>
        <v>0.0007644999999999999</v>
      </c>
      <c r="K38" s="39">
        <f>SUM(K19,K22,K27,K33,K37)*OOS_Flag</f>
        <v>827509.3200000002</v>
      </c>
      <c r="L38" s="39">
        <f>SUM(L19,L22,L27,L33:L37)*OOS_Flag</f>
        <v>281107.20000000007</v>
      </c>
    </row>
    <row r="39" ht="12.75" outlineLevel="1">
      <c r="D39" t="s">
        <v>65</v>
      </c>
    </row>
    <row r="40" spans="3:10" ht="13.5" outlineLevel="1" thickBot="1">
      <c r="C40" s="3"/>
      <c r="E40" s="89"/>
      <c r="F40" s="44"/>
      <c r="G40" s="44"/>
      <c r="H40" s="89"/>
      <c r="J40" s="41"/>
    </row>
    <row r="41" spans="2:10" ht="45.75" customHeight="1" outlineLevel="1" thickBot="1">
      <c r="B41" s="48" t="s">
        <v>257</v>
      </c>
      <c r="C41" s="158" t="s">
        <v>208</v>
      </c>
      <c r="D41" s="160" t="s">
        <v>365</v>
      </c>
      <c r="E41" s="148" t="s">
        <v>35</v>
      </c>
      <c r="F41" s="75" t="s">
        <v>36</v>
      </c>
      <c r="G41" s="75" t="s">
        <v>43</v>
      </c>
      <c r="J41" s="41"/>
    </row>
    <row r="42" spans="2:10" ht="12.75" outlineLevel="1">
      <c r="B42" s="143" t="s">
        <v>19</v>
      </c>
      <c r="C42" s="159" t="s">
        <v>65</v>
      </c>
      <c r="D42" s="161"/>
      <c r="E42" s="49" t="str">
        <f>E43</f>
        <v> </v>
      </c>
      <c r="F42" s="174"/>
      <c r="G42" s="52">
        <f>G43</f>
        <v>30000</v>
      </c>
      <c r="J42" s="41"/>
    </row>
    <row r="43" spans="2:10" ht="12.75" customHeight="1" outlineLevel="2">
      <c r="B43" s="68" t="s">
        <v>278</v>
      </c>
      <c r="C43" s="247">
        <f>Ranges!F10</f>
        <v>50000</v>
      </c>
      <c r="D43" s="235">
        <v>0.6</v>
      </c>
      <c r="E43" s="69" t="s">
        <v>65</v>
      </c>
      <c r="F43" s="33"/>
      <c r="G43" s="31">
        <f>C43*D43</f>
        <v>30000</v>
      </c>
      <c r="J43" s="41"/>
    </row>
    <row r="44" spans="2:10" ht="12.75" customHeight="1" outlineLevel="2">
      <c r="B44" s="143" t="s">
        <v>286</v>
      </c>
      <c r="C44" s="351"/>
      <c r="D44" s="351"/>
      <c r="E44" s="49"/>
      <c r="F44" s="174"/>
      <c r="G44" s="52">
        <f>G45</f>
        <v>50000</v>
      </c>
      <c r="J44" s="41"/>
    </row>
    <row r="45" spans="2:10" ht="12.75" customHeight="1" outlineLevel="2">
      <c r="B45" s="68" t="s">
        <v>285</v>
      </c>
      <c r="C45" s="247">
        <f>Ranges!F11</f>
        <v>100000</v>
      </c>
      <c r="D45" s="235">
        <v>0.5</v>
      </c>
      <c r="E45" s="69"/>
      <c r="F45" s="33"/>
      <c r="G45" s="31">
        <f>C45*D45</f>
        <v>50000</v>
      </c>
      <c r="J45" s="41"/>
    </row>
    <row r="46" spans="2:10" ht="13.5" outlineLevel="1" thickBot="1">
      <c r="B46" s="36" t="s">
        <v>85</v>
      </c>
      <c r="C46" s="137">
        <f>C43</f>
        <v>50000</v>
      </c>
      <c r="D46" s="162"/>
      <c r="E46" s="39">
        <f>SUM(E43:E43)*OOS_Flag</f>
        <v>0</v>
      </c>
      <c r="F46" s="70">
        <f>F42*OOS_Flag</f>
        <v>0</v>
      </c>
      <c r="G46" s="70">
        <f>SUM(G42,G44)*OOS_Flag</f>
        <v>80000</v>
      </c>
      <c r="J46" s="41"/>
    </row>
    <row r="47" spans="4:10" ht="12.75">
      <c r="D47" t="s">
        <v>65</v>
      </c>
      <c r="E47" s="89"/>
      <c r="F47" s="44"/>
      <c r="G47" s="44"/>
      <c r="H47" s="89"/>
      <c r="J47" s="41"/>
    </row>
    <row r="48" spans="5:10" ht="12.75">
      <c r="E48" s="89"/>
      <c r="F48" s="44"/>
      <c r="G48" s="44"/>
      <c r="H48" s="89"/>
      <c r="J48" s="41"/>
    </row>
    <row r="49" spans="2:10" ht="12.75">
      <c r="B49" t="s">
        <v>65</v>
      </c>
      <c r="E49" s="89"/>
      <c r="F49" s="44"/>
      <c r="G49" s="44"/>
      <c r="H49" s="89"/>
      <c r="J49" s="41"/>
    </row>
    <row r="50" ht="12.75">
      <c r="B50" s="11" t="s">
        <v>210</v>
      </c>
    </row>
    <row r="51" ht="13.5" outlineLevel="1" thickBot="1"/>
    <row r="52" spans="2:5" ht="12.75" outlineLevel="1">
      <c r="B52" s="126" t="s">
        <v>165</v>
      </c>
      <c r="C52" s="352">
        <v>0.02</v>
      </c>
      <c r="D52" s="375">
        <f>C52*$D$11</f>
        <v>70276800.00000001</v>
      </c>
      <c r="E52" s="376"/>
    </row>
    <row r="53" spans="2:5" ht="13.5" outlineLevel="1" thickBot="1">
      <c r="B53" s="127" t="s">
        <v>215</v>
      </c>
      <c r="C53" s="353">
        <v>0.4</v>
      </c>
      <c r="D53" s="368">
        <f>D52*C53</f>
        <v>28110720.000000007</v>
      </c>
      <c r="E53" s="369"/>
    </row>
    <row r="54" spans="2:5" ht="12.75" outlineLevel="1">
      <c r="B54" s="89" t="s">
        <v>65</v>
      </c>
      <c r="C54" s="101" t="s">
        <v>65</v>
      </c>
      <c r="D54" s="59" t="s">
        <v>65</v>
      </c>
      <c r="E54" s="60"/>
    </row>
    <row r="55" ht="12.75" outlineLevel="1"/>
    <row r="56" ht="12.75" outlineLevel="1">
      <c r="C56" s="3"/>
    </row>
    <row r="57" spans="3:7" ht="12.75" outlineLevel="1">
      <c r="C57" s="3"/>
      <c r="G57" s="21" t="s">
        <v>65</v>
      </c>
    </row>
    <row r="58" spans="3:7" ht="13.5" outlineLevel="1" thickBot="1">
      <c r="C58" s="3"/>
      <c r="G58" s="21" t="s">
        <v>65</v>
      </c>
    </row>
    <row r="59" spans="2:12" ht="51.75" outlineLevel="1" thickBot="1">
      <c r="B59" s="48" t="s">
        <v>142</v>
      </c>
      <c r="C59" s="362" t="s">
        <v>83</v>
      </c>
      <c r="D59" s="363"/>
      <c r="E59" s="46" t="s">
        <v>366</v>
      </c>
      <c r="F59" s="364" t="s">
        <v>86</v>
      </c>
      <c r="G59" s="365"/>
      <c r="H59" s="366" t="s">
        <v>364</v>
      </c>
      <c r="I59" s="367"/>
      <c r="K59" s="47" t="s">
        <v>35</v>
      </c>
      <c r="L59" s="43" t="s">
        <v>36</v>
      </c>
    </row>
    <row r="60" spans="2:12" ht="12.75" outlineLevel="1">
      <c r="B60" s="143" t="s">
        <v>97</v>
      </c>
      <c r="C60" s="143" t="s">
        <v>84</v>
      </c>
      <c r="D60" s="231">
        <v>0.2</v>
      </c>
      <c r="E60" s="350"/>
      <c r="F60" s="24"/>
      <c r="G60" s="22">
        <f>D60*$C$52*C53</f>
        <v>0.0016</v>
      </c>
      <c r="H60" s="24"/>
      <c r="I60" s="33">
        <f>H61+H62</f>
        <v>0.00152</v>
      </c>
      <c r="K60" s="49">
        <f>K61+K62</f>
        <v>281107.20000000007</v>
      </c>
      <c r="L60" s="49">
        <f>L61+L62</f>
        <v>0</v>
      </c>
    </row>
    <row r="61" spans="2:12" ht="12.75" outlineLevel="2">
      <c r="B61" s="27" t="s">
        <v>98</v>
      </c>
      <c r="C61" s="232">
        <v>0.5</v>
      </c>
      <c r="D61" s="354"/>
      <c r="E61" s="236">
        <v>0.1</v>
      </c>
      <c r="F61" s="24">
        <f>G60*C61</f>
        <v>0.0008</v>
      </c>
      <c r="G61" s="22" t="s">
        <v>65</v>
      </c>
      <c r="H61" s="45">
        <f>F61*(1-E61)</f>
        <v>0.00072</v>
      </c>
      <c r="I61" s="33"/>
      <c r="K61" s="34">
        <f>(F61-H61)*$D$11</f>
        <v>281107.20000000007</v>
      </c>
      <c r="L61" s="31">
        <v>0</v>
      </c>
    </row>
    <row r="62" spans="2:12" ht="12.75" outlineLevel="2">
      <c r="B62" s="27" t="s">
        <v>130</v>
      </c>
      <c r="C62" s="25">
        <f>1-C61</f>
        <v>0.5</v>
      </c>
      <c r="D62" s="354"/>
      <c r="E62" s="236">
        <v>0</v>
      </c>
      <c r="F62" s="24">
        <f>G60*C62</f>
        <v>0.0008</v>
      </c>
      <c r="G62" s="22" t="s">
        <v>65</v>
      </c>
      <c r="H62" s="45">
        <f>F62*(1-E62)</f>
        <v>0.0008</v>
      </c>
      <c r="I62" s="33"/>
      <c r="K62" s="34">
        <f>(F62-H62)*$D$11</f>
        <v>0</v>
      </c>
      <c r="L62" s="31">
        <v>0</v>
      </c>
    </row>
    <row r="63" spans="2:12" ht="12.75" outlineLevel="1">
      <c r="B63" s="143" t="s">
        <v>133</v>
      </c>
      <c r="C63" s="143" t="s">
        <v>84</v>
      </c>
      <c r="D63" s="231">
        <v>0.15</v>
      </c>
      <c r="E63" s="350"/>
      <c r="F63" s="24"/>
      <c r="G63" s="22">
        <f>D63*$C$52*C53</f>
        <v>0.0012000000000000001</v>
      </c>
      <c r="H63" s="45" t="s">
        <v>65</v>
      </c>
      <c r="I63" s="33">
        <f>H64+H65</f>
        <v>0.0006000000000000001</v>
      </c>
      <c r="K63" s="49">
        <f>K64+K65</f>
        <v>2108304.000000001</v>
      </c>
      <c r="L63" s="49">
        <f>L64+L65</f>
        <v>0</v>
      </c>
    </row>
    <row r="64" spans="2:12" ht="12.75" outlineLevel="2">
      <c r="B64" s="50" t="s">
        <v>132</v>
      </c>
      <c r="C64" s="232">
        <v>0.4</v>
      </c>
      <c r="D64" s="354"/>
      <c r="E64" s="236">
        <v>0.5</v>
      </c>
      <c r="F64" s="24">
        <f>$G$63*C64</f>
        <v>0.00048000000000000007</v>
      </c>
      <c r="G64" s="22" t="s">
        <v>65</v>
      </c>
      <c r="H64" s="45">
        <f>F64*(1-E64)</f>
        <v>0.00024000000000000003</v>
      </c>
      <c r="I64" s="15"/>
      <c r="K64" s="34">
        <f>(F64-H64)*$D$11</f>
        <v>843321.6000000003</v>
      </c>
      <c r="L64" s="31">
        <v>0</v>
      </c>
    </row>
    <row r="65" spans="2:12" ht="12.75" outlineLevel="2">
      <c r="B65" s="50" t="s">
        <v>340</v>
      </c>
      <c r="C65" s="40">
        <f>1-C64</f>
        <v>0.6</v>
      </c>
      <c r="D65" s="354"/>
      <c r="E65" s="236">
        <v>0.5</v>
      </c>
      <c r="F65" s="24">
        <f>$G$63*C65</f>
        <v>0.00072</v>
      </c>
      <c r="G65" s="22" t="s">
        <v>65</v>
      </c>
      <c r="H65" s="45">
        <f>F65*(1-E65)</f>
        <v>0.00036</v>
      </c>
      <c r="I65" s="33"/>
      <c r="K65" s="34">
        <f>(F65-H65)*$D$11</f>
        <v>1264982.4000000004</v>
      </c>
      <c r="L65" s="31">
        <v>0</v>
      </c>
    </row>
    <row r="66" spans="2:12" ht="12.75" outlineLevel="2">
      <c r="B66" s="27" t="s">
        <v>65</v>
      </c>
      <c r="C66" s="26" t="s">
        <v>65</v>
      </c>
      <c r="D66" s="354"/>
      <c r="E66" s="236" t="s">
        <v>65</v>
      </c>
      <c r="F66" s="24" t="s">
        <v>65</v>
      </c>
      <c r="G66" s="22" t="s">
        <v>65</v>
      </c>
      <c r="H66" s="45" t="s">
        <v>65</v>
      </c>
      <c r="I66" s="33"/>
      <c r="K66" s="34" t="s">
        <v>65</v>
      </c>
      <c r="L66" s="31" t="s">
        <v>65</v>
      </c>
    </row>
    <row r="67" spans="2:12" ht="12.75" outlineLevel="1">
      <c r="B67" s="143" t="s">
        <v>78</v>
      </c>
      <c r="C67" s="143" t="s">
        <v>84</v>
      </c>
      <c r="D67" s="231">
        <v>0.15</v>
      </c>
      <c r="E67" s="350"/>
      <c r="F67" s="24"/>
      <c r="G67" s="22">
        <f>D67*$C$52*C53</f>
        <v>0.0012000000000000001</v>
      </c>
      <c r="H67" s="45" t="s">
        <v>65</v>
      </c>
      <c r="I67" s="33">
        <f>H68+H69+H70+H71+H72</f>
        <v>0.000528</v>
      </c>
      <c r="K67" s="49">
        <f>K68+K69+K70+K71+K72</f>
        <v>2361300.480000001</v>
      </c>
      <c r="L67" s="49">
        <f>L68+L69+L70+L71+L72</f>
        <v>0</v>
      </c>
    </row>
    <row r="68" spans="2:12" ht="12.75" outlineLevel="2">
      <c r="B68" s="27" t="s">
        <v>81</v>
      </c>
      <c r="C68" s="232">
        <v>0.1</v>
      </c>
      <c r="D68" s="354"/>
      <c r="E68" s="236">
        <v>0.1</v>
      </c>
      <c r="F68" s="24">
        <f>$G$67*C68</f>
        <v>0.00012000000000000002</v>
      </c>
      <c r="G68" s="22" t="s">
        <v>65</v>
      </c>
      <c r="H68" s="45">
        <f>F68*(1-E68)</f>
        <v>0.00010800000000000002</v>
      </c>
      <c r="I68" s="33"/>
      <c r="K68" s="34">
        <f>(F68-H68)*$D$11</f>
        <v>42166.07999999999</v>
      </c>
      <c r="L68" s="31">
        <v>0</v>
      </c>
    </row>
    <row r="69" spans="2:12" ht="12.75" outlineLevel="2">
      <c r="B69" s="27" t="s">
        <v>79</v>
      </c>
      <c r="C69" s="232">
        <v>0.1</v>
      </c>
      <c r="D69" s="354"/>
      <c r="E69" s="236">
        <v>0</v>
      </c>
      <c r="F69" s="24">
        <f>$G$67*C69</f>
        <v>0.00012000000000000002</v>
      </c>
      <c r="G69" s="22" t="s">
        <v>65</v>
      </c>
      <c r="H69" s="45">
        <f>F69*(1-E69)</f>
        <v>0.00012000000000000002</v>
      </c>
      <c r="I69" s="33"/>
      <c r="K69" s="34">
        <f aca="true" t="shared" si="0" ref="K69:K77">(F69-H69)*$D$11</f>
        <v>0</v>
      </c>
      <c r="L69" s="31">
        <v>0</v>
      </c>
    </row>
    <row r="70" spans="2:12" ht="12.75" outlineLevel="2">
      <c r="B70" s="27" t="s">
        <v>135</v>
      </c>
      <c r="C70" s="232">
        <v>0.3</v>
      </c>
      <c r="D70" s="354"/>
      <c r="E70" s="236">
        <v>0.5</v>
      </c>
      <c r="F70" s="24">
        <f>$G$67*C70</f>
        <v>0.00036</v>
      </c>
      <c r="G70" s="22" t="s">
        <v>65</v>
      </c>
      <c r="H70" s="45">
        <f>F70*(1-E70)</f>
        <v>0.00018</v>
      </c>
      <c r="I70" s="33"/>
      <c r="K70" s="34">
        <f t="shared" si="0"/>
        <v>632491.2000000002</v>
      </c>
      <c r="L70" s="31">
        <v>0</v>
      </c>
    </row>
    <row r="71" spans="2:12" ht="12.75" outlineLevel="2">
      <c r="B71" s="27" t="s">
        <v>214</v>
      </c>
      <c r="C71" s="232">
        <v>0.3</v>
      </c>
      <c r="D71" s="354"/>
      <c r="E71" s="236">
        <v>0.8</v>
      </c>
      <c r="F71" s="24">
        <f>$G$67*C71</f>
        <v>0.00036</v>
      </c>
      <c r="G71" s="22" t="s">
        <v>65</v>
      </c>
      <c r="H71" s="45">
        <f>F71*(1-E71)</f>
        <v>7.199999999999999E-05</v>
      </c>
      <c r="I71" s="33"/>
      <c r="K71" s="34">
        <f t="shared" si="0"/>
        <v>1011985.9200000005</v>
      </c>
      <c r="L71" s="31">
        <v>0</v>
      </c>
    </row>
    <row r="72" spans="2:12" ht="12.75" outlineLevel="2">
      <c r="B72" s="27" t="s">
        <v>131</v>
      </c>
      <c r="C72" s="26">
        <f>1-(C68+C69+C70+C71)</f>
        <v>0.19999999999999996</v>
      </c>
      <c r="D72" s="354"/>
      <c r="E72" s="236">
        <v>0.8</v>
      </c>
      <c r="F72" s="24">
        <f>$G$67*C72</f>
        <v>0.00023999999999999998</v>
      </c>
      <c r="G72" s="22" t="s">
        <v>65</v>
      </c>
      <c r="H72" s="45">
        <f>F72*(1-E72)</f>
        <v>4.799999999999999E-05</v>
      </c>
      <c r="I72" s="33"/>
      <c r="K72" s="34">
        <f t="shared" si="0"/>
        <v>674657.2800000001</v>
      </c>
      <c r="L72" s="31">
        <v>0</v>
      </c>
    </row>
    <row r="73" spans="2:12" ht="12.75" outlineLevel="1">
      <c r="B73" s="143" t="s">
        <v>80</v>
      </c>
      <c r="C73" s="143" t="s">
        <v>84</v>
      </c>
      <c r="D73" s="231">
        <v>0.35</v>
      </c>
      <c r="E73" s="350"/>
      <c r="F73" s="24"/>
      <c r="G73" s="22">
        <f>D73*$C$52*C53</f>
        <v>0.0028</v>
      </c>
      <c r="H73" s="45" t="s">
        <v>65</v>
      </c>
      <c r="I73" s="33">
        <f>H74+H75+H76</f>
        <v>0.0017360000000000001</v>
      </c>
      <c r="K73" s="49">
        <f>K74+K75+K76</f>
        <v>3738725.760000001</v>
      </c>
      <c r="L73" s="49">
        <f>L74+L75+L76</f>
        <v>0</v>
      </c>
    </row>
    <row r="74" spans="2:12" ht="12.75" outlineLevel="2">
      <c r="B74" s="27" t="s">
        <v>136</v>
      </c>
      <c r="C74" s="232">
        <v>0.3</v>
      </c>
      <c r="D74" s="15"/>
      <c r="E74" s="236">
        <v>0.5</v>
      </c>
      <c r="F74" s="24">
        <f>$G$73*C74</f>
        <v>0.0008399999999999999</v>
      </c>
      <c r="G74" s="22" t="s">
        <v>65</v>
      </c>
      <c r="H74" s="45">
        <f>F74*(1-E74)</f>
        <v>0.00041999999999999996</v>
      </c>
      <c r="I74" s="33"/>
      <c r="K74" s="34">
        <f t="shared" si="0"/>
        <v>1475812.8000000003</v>
      </c>
      <c r="L74" s="31">
        <v>0</v>
      </c>
    </row>
    <row r="75" spans="2:12" ht="12.75" outlineLevel="2">
      <c r="B75" s="27" t="s">
        <v>137</v>
      </c>
      <c r="C75" s="232">
        <v>0.4</v>
      </c>
      <c r="D75" s="15"/>
      <c r="E75" s="236">
        <v>0.5</v>
      </c>
      <c r="F75" s="24">
        <f>$G$73*C75</f>
        <v>0.0011200000000000001</v>
      </c>
      <c r="G75" s="22" t="s">
        <v>65</v>
      </c>
      <c r="H75" s="45">
        <f>F75*(1-E75)</f>
        <v>0.0005600000000000001</v>
      </c>
      <c r="I75" s="33"/>
      <c r="K75" s="34">
        <f t="shared" si="0"/>
        <v>1967750.4000000008</v>
      </c>
      <c r="L75" s="31">
        <v>0</v>
      </c>
    </row>
    <row r="76" spans="2:12" ht="12.75" outlineLevel="2">
      <c r="B76" s="27" t="s">
        <v>82</v>
      </c>
      <c r="C76" s="26">
        <f>1-(C74+C75)</f>
        <v>0.30000000000000004</v>
      </c>
      <c r="D76" s="15"/>
      <c r="E76" s="236">
        <v>0.1</v>
      </c>
      <c r="F76" s="24">
        <f>$G$73*C76</f>
        <v>0.0008400000000000001</v>
      </c>
      <c r="G76" s="22" t="s">
        <v>65</v>
      </c>
      <c r="H76" s="45">
        <f>F76*(1-E76)</f>
        <v>0.0007560000000000002</v>
      </c>
      <c r="I76" s="33"/>
      <c r="K76" s="34">
        <f t="shared" si="0"/>
        <v>295162.56</v>
      </c>
      <c r="L76" s="31">
        <v>0</v>
      </c>
    </row>
    <row r="77" spans="2:12" ht="12.75" outlineLevel="1">
      <c r="B77" s="144" t="s">
        <v>103</v>
      </c>
      <c r="C77" s="145" t="s">
        <v>84</v>
      </c>
      <c r="D77" s="16">
        <f>1-(D60+D63+D67+D73)</f>
        <v>0.15000000000000002</v>
      </c>
      <c r="E77" s="236">
        <v>0.2</v>
      </c>
      <c r="F77" s="51">
        <f>G77</f>
        <v>0.0012000000000000003</v>
      </c>
      <c r="G77" s="22">
        <f>D77*$C$52*C53</f>
        <v>0.0012000000000000003</v>
      </c>
      <c r="H77" s="44">
        <f>F77*(1-E77)</f>
        <v>0.0009600000000000003</v>
      </c>
      <c r="I77" s="33">
        <f>H77</f>
        <v>0.0009600000000000003</v>
      </c>
      <c r="K77" s="34">
        <f t="shared" si="0"/>
        <v>843321.6000000002</v>
      </c>
      <c r="L77" s="52">
        <v>0</v>
      </c>
    </row>
    <row r="78" spans="2:12" ht="13.5" outlineLevel="1" thickBot="1">
      <c r="B78" s="18"/>
      <c r="C78" s="36" t="s">
        <v>85</v>
      </c>
      <c r="D78" s="37">
        <f>D60+D63+D67+D73+D77</f>
        <v>1</v>
      </c>
      <c r="E78" s="42"/>
      <c r="F78" s="38">
        <f>SUM(F60:F77)</f>
        <v>0.008</v>
      </c>
      <c r="G78" s="38">
        <f>SUM(G60:G77)</f>
        <v>0.008</v>
      </c>
      <c r="H78" s="38">
        <f>SUM(H60:H77)</f>
        <v>0.005344</v>
      </c>
      <c r="I78" s="38">
        <f>SUM(I60:I77)</f>
        <v>0.0053440000000000015</v>
      </c>
      <c r="K78" s="39">
        <f>SUM(K60,K63,K67,K73,K77)*OOS_Flag</f>
        <v>9332759.040000003</v>
      </c>
      <c r="L78" s="39">
        <f>SUM(L60,L63,L67,L73:L77)*OOS_Flag</f>
        <v>0</v>
      </c>
    </row>
  </sheetData>
  <sheetProtection sheet="1" objects="1" scenarios="1"/>
  <protectedRanges>
    <protectedRange sqref="C52:C54 D19 C20 D22 C23:C25 D27 C28:C31 D33 C34:C35 E20:E21 E23:E26 E28:E32 E34:E37 C43:D43 C45:D45 E74:E77 D60 C61 D63 C64:C65 D67 C68:C71 D73 C74:C75 E61:E62 E64:E66 E68:E72 C12:C13" name="OOS Sheet"/>
  </protectedRanges>
  <mergeCells count="12">
    <mergeCell ref="C18:D18"/>
    <mergeCell ref="D12:E12"/>
    <mergeCell ref="B3:H3"/>
    <mergeCell ref="D52:E52"/>
    <mergeCell ref="D10:E10"/>
    <mergeCell ref="F18:G18"/>
    <mergeCell ref="H18:I18"/>
    <mergeCell ref="D11:E11"/>
    <mergeCell ref="C59:D59"/>
    <mergeCell ref="F59:G59"/>
    <mergeCell ref="H59:I59"/>
    <mergeCell ref="D53:E53"/>
  </mergeCells>
  <printOptions/>
  <pageMargins left="0.75" right="0.75" top="1" bottom="1" header="0.5" footer="0.5"/>
  <pageSetup horizontalDpi="300" verticalDpi="3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B2:M33"/>
  <sheetViews>
    <sheetView workbookViewId="0" topLeftCell="A1">
      <selection activeCell="C8" sqref="C8"/>
    </sheetView>
  </sheetViews>
  <sheetFormatPr defaultColWidth="9.140625" defaultRowHeight="12.75" outlineLevelRow="1"/>
  <cols>
    <col min="1" max="1" width="7.140625" style="0" customWidth="1"/>
    <col min="2" max="2" width="49.57421875" style="0" customWidth="1"/>
    <col min="4" max="4" width="15.421875" style="0" customWidth="1"/>
    <col min="5" max="5" width="13.8515625" style="41" customWidth="1"/>
    <col min="6" max="6" width="9.57421875" style="21" customWidth="1"/>
    <col min="7" max="7" width="9.00390625" style="21" customWidth="1"/>
    <col min="9" max="9" width="8.140625" style="0" customWidth="1"/>
    <col min="10" max="10" width="4.00390625" style="5" customWidth="1"/>
    <col min="11" max="11" width="11.7109375" style="0" customWidth="1"/>
    <col min="12" max="12" width="12.421875" style="0" customWidth="1"/>
    <col min="13" max="13" width="13.421875" style="0" customWidth="1"/>
  </cols>
  <sheetData>
    <row r="2" spans="2:3" ht="12.75">
      <c r="B2" s="13" t="s">
        <v>90</v>
      </c>
      <c r="C2" s="205">
        <f>IF('Preliminary Information'!D17,1,0)</f>
        <v>1</v>
      </c>
    </row>
    <row r="3" spans="2:12" ht="57.75" customHeight="1">
      <c r="B3" s="380" t="s">
        <v>27</v>
      </c>
      <c r="C3" s="381"/>
      <c r="D3" s="381"/>
      <c r="E3" s="381"/>
      <c r="F3" s="381"/>
      <c r="G3" s="381"/>
      <c r="H3" s="381"/>
      <c r="I3" s="374"/>
      <c r="J3" s="374"/>
      <c r="K3" s="374"/>
      <c r="L3" s="374"/>
    </row>
    <row r="4" spans="2:12" ht="12.75">
      <c r="B4" s="380"/>
      <c r="C4" s="381"/>
      <c r="D4" s="381"/>
      <c r="E4" s="381"/>
      <c r="F4" s="381"/>
      <c r="G4" s="381"/>
      <c r="H4" s="381"/>
      <c r="I4" s="374"/>
      <c r="J4" s="374"/>
      <c r="K4" s="374"/>
      <c r="L4" s="374"/>
    </row>
    <row r="6" ht="13.5" thickBot="1">
      <c r="B6" s="11" t="s">
        <v>75</v>
      </c>
    </row>
    <row r="7" spans="2:4" ht="12.75">
      <c r="B7" s="19" t="s">
        <v>128</v>
      </c>
      <c r="C7" s="219"/>
      <c r="D7" s="125">
        <f>Summary!D6</f>
        <v>4000000000</v>
      </c>
    </row>
    <row r="8" spans="2:5" ht="12.75">
      <c r="B8" s="14" t="s">
        <v>394</v>
      </c>
      <c r="C8" s="59" t="s">
        <v>65</v>
      </c>
      <c r="D8" s="338">
        <f>Summary!D11</f>
        <v>5856400000.000002</v>
      </c>
      <c r="E8" s="60"/>
    </row>
    <row r="9" spans="2:5" ht="13.5" thickBot="1">
      <c r="B9" s="18" t="s">
        <v>155</v>
      </c>
      <c r="C9" s="239">
        <f>Ranges!F12</f>
        <v>0.01</v>
      </c>
      <c r="D9" s="164">
        <f>C9*D8</f>
        <v>58564000.00000002</v>
      </c>
      <c r="E9" s="60"/>
    </row>
    <row r="10" spans="2:5" ht="12.75">
      <c r="B10" s="89" t="s">
        <v>65</v>
      </c>
      <c r="C10" s="101" t="s">
        <v>65</v>
      </c>
      <c r="D10" s="59"/>
      <c r="E10" s="60"/>
    </row>
    <row r="11" ht="12.75">
      <c r="C11" s="3"/>
    </row>
    <row r="12" ht="12.75">
      <c r="C12" s="3"/>
    </row>
    <row r="13" spans="3:7" ht="12.75">
      <c r="C13" s="3"/>
      <c r="G13" s="21" t="s">
        <v>65</v>
      </c>
    </row>
    <row r="14" spans="3:7" ht="13.5" thickBot="1">
      <c r="C14" s="3"/>
      <c r="G14" s="21" t="s">
        <v>65</v>
      </c>
    </row>
    <row r="15" spans="2:13" ht="58.5" customHeight="1" thickBot="1">
      <c r="B15" s="48" t="s">
        <v>145</v>
      </c>
      <c r="C15" s="362" t="s">
        <v>83</v>
      </c>
      <c r="D15" s="363"/>
      <c r="E15" s="46" t="s">
        <v>367</v>
      </c>
      <c r="F15" s="364" t="s">
        <v>143</v>
      </c>
      <c r="G15" s="365"/>
      <c r="H15" s="366" t="s">
        <v>368</v>
      </c>
      <c r="I15" s="367"/>
      <c r="K15" s="47" t="s">
        <v>35</v>
      </c>
      <c r="L15" s="43" t="s">
        <v>36</v>
      </c>
      <c r="M15" s="43" t="s">
        <v>43</v>
      </c>
    </row>
    <row r="16" spans="2:13" ht="12.75">
      <c r="B16" s="143" t="s">
        <v>91</v>
      </c>
      <c r="C16" s="143" t="s">
        <v>84</v>
      </c>
      <c r="D16" s="231">
        <v>0.2</v>
      </c>
      <c r="E16" s="44"/>
      <c r="F16" s="24"/>
      <c r="G16" s="22">
        <f>D16*$C$9</f>
        <v>0.002</v>
      </c>
      <c r="H16" s="24"/>
      <c r="I16" s="33">
        <f>H17+H19+H18</f>
        <v>0.0012400000000000002</v>
      </c>
      <c r="K16" s="49">
        <v>0</v>
      </c>
      <c r="L16" s="49">
        <v>0</v>
      </c>
      <c r="M16" s="49">
        <f>SUM(M17:M19)</f>
        <v>4450864.000000001</v>
      </c>
    </row>
    <row r="17" spans="2:13" ht="12.75" outlineLevel="1">
      <c r="B17" s="27" t="s">
        <v>94</v>
      </c>
      <c r="C17" s="232">
        <v>0.2</v>
      </c>
      <c r="D17" s="15"/>
      <c r="E17" s="236">
        <v>0.5</v>
      </c>
      <c r="F17" s="24">
        <f>$G$16*C17</f>
        <v>0.0004</v>
      </c>
      <c r="G17" s="22" t="s">
        <v>65</v>
      </c>
      <c r="H17" s="45">
        <f>F17*(1-E17)</f>
        <v>0.0002</v>
      </c>
      <c r="I17" s="33"/>
      <c r="K17" s="34">
        <v>0</v>
      </c>
      <c r="L17" s="34">
        <v>0</v>
      </c>
      <c r="M17" s="34">
        <f>(F17-H17)*$D$8</f>
        <v>1171280.0000000005</v>
      </c>
    </row>
    <row r="18" spans="2:13" ht="12.75" outlineLevel="1">
      <c r="B18" s="27" t="s">
        <v>216</v>
      </c>
      <c r="C18" s="232">
        <v>0.5</v>
      </c>
      <c r="D18" s="15"/>
      <c r="E18" s="236">
        <v>0.5</v>
      </c>
      <c r="F18" s="24">
        <f>$G$16*C18</f>
        <v>0.001</v>
      </c>
      <c r="G18" s="22"/>
      <c r="H18" s="45">
        <f>F18*(1-E18)</f>
        <v>0.0005</v>
      </c>
      <c r="I18" s="33"/>
      <c r="K18" s="34">
        <v>0</v>
      </c>
      <c r="L18" s="34">
        <v>0</v>
      </c>
      <c r="M18" s="34">
        <f>(F18-H18)*$D$8</f>
        <v>2928200.000000001</v>
      </c>
    </row>
    <row r="19" spans="2:13" ht="12.75" outlineLevel="1">
      <c r="B19" s="27" t="s">
        <v>93</v>
      </c>
      <c r="C19" s="25">
        <f>1-(C17+C18)</f>
        <v>0.30000000000000004</v>
      </c>
      <c r="D19" s="15"/>
      <c r="E19" s="236">
        <v>0.1</v>
      </c>
      <c r="F19" s="24">
        <f>G16*C19</f>
        <v>0.0006000000000000001</v>
      </c>
      <c r="G19" s="22" t="s">
        <v>65</v>
      </c>
      <c r="H19" s="45">
        <f>F19*(1-E19)</f>
        <v>0.0005400000000000001</v>
      </c>
      <c r="I19" s="33"/>
      <c r="K19" s="34">
        <v>0</v>
      </c>
      <c r="L19" s="34">
        <v>0</v>
      </c>
      <c r="M19" s="34">
        <f>(F19-H19)*$D$8</f>
        <v>351383.99999999977</v>
      </c>
    </row>
    <row r="20" spans="2:13" ht="12.75">
      <c r="B20" s="143" t="s">
        <v>109</v>
      </c>
      <c r="C20" s="143" t="s">
        <v>84</v>
      </c>
      <c r="D20" s="231">
        <v>0.4</v>
      </c>
      <c r="E20" s="350"/>
      <c r="F20" s="24"/>
      <c r="G20" s="22">
        <f>D20*$C$9</f>
        <v>0.004</v>
      </c>
      <c r="H20" s="45" t="s">
        <v>65</v>
      </c>
      <c r="I20" s="33">
        <f>H21+H22</f>
        <v>0.0016000000000000003</v>
      </c>
      <c r="K20" s="49">
        <v>0</v>
      </c>
      <c r="L20" s="49">
        <v>0</v>
      </c>
      <c r="M20" s="49">
        <f>M21+M22</f>
        <v>14055360.000000004</v>
      </c>
    </row>
    <row r="21" spans="2:13" ht="12.75" outlineLevel="1">
      <c r="B21" s="27" t="s">
        <v>140</v>
      </c>
      <c r="C21" s="232">
        <v>0.1</v>
      </c>
      <c r="D21" s="15"/>
      <c r="E21" s="236">
        <v>0.6</v>
      </c>
      <c r="F21" s="24">
        <f>$G$20*C21</f>
        <v>0.0004</v>
      </c>
      <c r="G21" s="22" t="s">
        <v>65</v>
      </c>
      <c r="H21" s="45">
        <f>F21*(1-E21)</f>
        <v>0.00016</v>
      </c>
      <c r="I21" s="33"/>
      <c r="K21" s="34">
        <v>0</v>
      </c>
      <c r="L21" s="34">
        <v>0</v>
      </c>
      <c r="M21" s="34">
        <f>(F21-H21)*$D$8</f>
        <v>1405536.0000000005</v>
      </c>
    </row>
    <row r="22" spans="2:13" ht="12.75" outlineLevel="1">
      <c r="B22" s="27" t="s">
        <v>110</v>
      </c>
      <c r="C22" s="40">
        <f>1-C21</f>
        <v>0.9</v>
      </c>
      <c r="D22" s="15"/>
      <c r="E22" s="236">
        <v>0.6</v>
      </c>
      <c r="F22" s="24">
        <f>$G$20*C22</f>
        <v>0.0036000000000000003</v>
      </c>
      <c r="G22" s="22" t="s">
        <v>65</v>
      </c>
      <c r="H22" s="45">
        <f>F22*(1-E22)</f>
        <v>0.0014400000000000003</v>
      </c>
      <c r="I22" s="33"/>
      <c r="K22" s="34">
        <v>0</v>
      </c>
      <c r="L22" s="34">
        <v>0</v>
      </c>
      <c r="M22" s="34">
        <f>(F22-H22)*$D$8</f>
        <v>12649824.000000004</v>
      </c>
    </row>
    <row r="23" spans="2:13" ht="12.75">
      <c r="B23" s="144" t="s">
        <v>103</v>
      </c>
      <c r="C23" s="145" t="s">
        <v>84</v>
      </c>
      <c r="D23" s="16">
        <f>1-(D16+D20)</f>
        <v>0.3999999999999999</v>
      </c>
      <c r="E23" s="236">
        <v>0.2</v>
      </c>
      <c r="F23" s="51">
        <f>G23</f>
        <v>0.003999999999999999</v>
      </c>
      <c r="G23" s="22">
        <f>D23*$C$9</f>
        <v>0.003999999999999999</v>
      </c>
      <c r="H23" s="45">
        <f>F23*(1-E23)</f>
        <v>0.0031999999999999997</v>
      </c>
      <c r="I23" s="33">
        <f>H23</f>
        <v>0.0031999999999999997</v>
      </c>
      <c r="K23" s="49">
        <v>0</v>
      </c>
      <c r="L23" s="49">
        <v>0</v>
      </c>
      <c r="M23" s="49">
        <f>(F23-H23)*$D$8</f>
        <v>4685119.999999998</v>
      </c>
    </row>
    <row r="24" spans="2:13" ht="13.5" thickBot="1">
      <c r="B24" s="18"/>
      <c r="C24" s="36" t="s">
        <v>85</v>
      </c>
      <c r="D24" s="37">
        <f>D16+D20+D23</f>
        <v>1</v>
      </c>
      <c r="E24" s="42"/>
      <c r="F24" s="38">
        <f>SUM(F16:F23)</f>
        <v>0.009999999999999998</v>
      </c>
      <c r="G24" s="38">
        <f>SUM(G16:G23)</f>
        <v>0.009999999999999998</v>
      </c>
      <c r="H24" s="38">
        <f>SUM(H16:H23)</f>
        <v>0.00604</v>
      </c>
      <c r="I24" s="140">
        <f>SUM(I16:I23)</f>
        <v>0.00604</v>
      </c>
      <c r="K24" s="39">
        <f>SUM(K16,K20,K23)*Shrinkage_flag</f>
        <v>0</v>
      </c>
      <c r="L24" s="39">
        <f>SUM(L16,L20,L23)*Shrinkage_flag</f>
        <v>0</v>
      </c>
      <c r="M24" s="39">
        <f>SUM(M16,M20,M23)*Shrinkage_flag</f>
        <v>23191344</v>
      </c>
    </row>
    <row r="25" ht="12.75">
      <c r="D25" t="s">
        <v>65</v>
      </c>
    </row>
    <row r="26" ht="13.5" thickBot="1"/>
    <row r="27" spans="2:7" ht="43.5" customHeight="1" thickBot="1">
      <c r="B27" s="85" t="s">
        <v>233</v>
      </c>
      <c r="C27" s="166" t="s">
        <v>239</v>
      </c>
      <c r="D27" s="148" t="s">
        <v>369</v>
      </c>
      <c r="E27" s="47" t="s">
        <v>35</v>
      </c>
      <c r="F27" s="75" t="s">
        <v>36</v>
      </c>
      <c r="G27" s="75" t="s">
        <v>43</v>
      </c>
    </row>
    <row r="28" spans="2:7" ht="12.75">
      <c r="B28" s="65" t="s">
        <v>238</v>
      </c>
      <c r="C28" s="83" t="s">
        <v>65</v>
      </c>
      <c r="D28" s="69"/>
      <c r="E28" s="61">
        <f>SUM(E29:E29)</f>
        <v>0</v>
      </c>
      <c r="F28" s="61">
        <f>SUM(F29:F29)</f>
        <v>0</v>
      </c>
      <c r="G28" s="52">
        <f>G29</f>
        <v>14000</v>
      </c>
    </row>
    <row r="29" spans="2:7" ht="12.75" outlineLevel="1">
      <c r="B29" s="87" t="s">
        <v>241</v>
      </c>
      <c r="C29" s="233">
        <v>20000</v>
      </c>
      <c r="D29" s="234">
        <v>0.7</v>
      </c>
      <c r="E29" s="32">
        <v>0</v>
      </c>
      <c r="F29" s="32">
        <v>0</v>
      </c>
      <c r="G29" s="79">
        <f>C29*D29</f>
        <v>14000</v>
      </c>
    </row>
    <row r="30" spans="2:7" ht="12.75">
      <c r="B30" s="65" t="s">
        <v>259</v>
      </c>
      <c r="C30" s="15"/>
      <c r="D30" s="356"/>
      <c r="E30" s="52">
        <f>E31+E32</f>
        <v>6442040.000000002</v>
      </c>
      <c r="F30" s="52">
        <f>F31</f>
        <v>0</v>
      </c>
      <c r="G30" s="52">
        <f>G31</f>
        <v>0</v>
      </c>
    </row>
    <row r="31" spans="2:7" ht="12.75" outlineLevel="1">
      <c r="B31" s="87" t="s">
        <v>240</v>
      </c>
      <c r="C31" s="15"/>
      <c r="D31" s="235">
        <v>0.0001</v>
      </c>
      <c r="E31" s="195">
        <f>D31*$D$8</f>
        <v>585640.0000000002</v>
      </c>
      <c r="F31" s="195"/>
      <c r="G31" s="195"/>
    </row>
    <row r="32" spans="2:7" ht="25.5" outlineLevel="1">
      <c r="B32" s="77" t="s">
        <v>258</v>
      </c>
      <c r="C32" s="15"/>
      <c r="D32" s="235">
        <v>0.001</v>
      </c>
      <c r="E32" s="195">
        <f>D32*$D$8</f>
        <v>5856400.000000002</v>
      </c>
      <c r="F32" s="195"/>
      <c r="G32" s="195"/>
    </row>
    <row r="33" spans="2:7" ht="13.5" thickBot="1">
      <c r="B33" s="147" t="s">
        <v>176</v>
      </c>
      <c r="C33" s="84"/>
      <c r="D33" s="39"/>
      <c r="E33" s="39">
        <f>SUM(E28,E30)*Shrinkage_flag</f>
        <v>6442040.000000002</v>
      </c>
      <c r="F33" s="39">
        <f>SUM(F28,F30)*Shrinkage_flag</f>
        <v>0</v>
      </c>
      <c r="G33" s="39">
        <f>(G28+G30+G31)*Shrinkage_flag</f>
        <v>14000</v>
      </c>
    </row>
  </sheetData>
  <sheetProtection sheet="1" objects="1" scenarios="1"/>
  <protectedRanges>
    <protectedRange sqref="D31:D32 C17:C18 D16 D20 C21 C29:D29 C9" name="Shrinkage"/>
    <protectedRange sqref="C10" name="OOS Sheet"/>
  </protectedRanges>
  <mergeCells count="4">
    <mergeCell ref="B3:L4"/>
    <mergeCell ref="F15:G15"/>
    <mergeCell ref="H15:I15"/>
    <mergeCell ref="C15:D15"/>
  </mergeCells>
  <printOptions/>
  <pageMargins left="0.75" right="0.75" top="1" bottom="1" header="0.5" footer="0.5"/>
  <pageSetup orientation="portrait" r:id="rId3"/>
  <drawing r:id="rId2"/>
  <legacyDrawing r:id="rId1"/>
</worksheet>
</file>

<file path=xl/worksheets/sheet7.xml><?xml version="1.0" encoding="utf-8"?>
<worksheet xmlns="http://schemas.openxmlformats.org/spreadsheetml/2006/main" xmlns:r="http://schemas.openxmlformats.org/officeDocument/2006/relationships">
  <sheetPr codeName="Sheet6"/>
  <dimension ref="B2:L21"/>
  <sheetViews>
    <sheetView workbookViewId="0" topLeftCell="A1">
      <selection activeCell="D23" sqref="D23"/>
    </sheetView>
  </sheetViews>
  <sheetFormatPr defaultColWidth="9.140625" defaultRowHeight="12.75" outlineLevelRow="1"/>
  <cols>
    <col min="1" max="1" width="7.140625" style="0" customWidth="1"/>
    <col min="2" max="2" width="47.28125" style="0" customWidth="1"/>
    <col min="3" max="3" width="14.7109375" style="0" customWidth="1"/>
    <col min="4" max="4" width="12.7109375" style="0" customWidth="1"/>
    <col min="5" max="5" width="14.00390625" style="41" customWidth="1"/>
    <col min="6" max="6" width="9.57421875" style="21" customWidth="1"/>
    <col min="7" max="7" width="8.00390625" style="21" customWidth="1"/>
    <col min="9" max="9" width="8.140625" style="0" customWidth="1"/>
    <col min="10" max="10" width="4.00390625" style="5" customWidth="1"/>
    <col min="11" max="11" width="11.7109375" style="0" customWidth="1"/>
    <col min="12" max="12" width="12.421875" style="0" customWidth="1"/>
  </cols>
  <sheetData>
    <row r="2" spans="2:3" ht="12.75">
      <c r="B2" s="13" t="s">
        <v>95</v>
      </c>
      <c r="C2" s="205">
        <f>IF('Preliminary Information'!D18,1,0)</f>
        <v>1</v>
      </c>
    </row>
    <row r="3" spans="2:12" ht="52.5" customHeight="1">
      <c r="B3" s="382" t="s">
        <v>225</v>
      </c>
      <c r="C3" s="382"/>
      <c r="D3" s="382"/>
      <c r="E3" s="382"/>
      <c r="F3" s="382"/>
      <c r="G3" s="382"/>
      <c r="H3" s="382"/>
      <c r="I3" s="382"/>
      <c r="J3" s="382"/>
      <c r="K3" s="382"/>
      <c r="L3" s="382"/>
    </row>
    <row r="5" ht="13.5" thickBot="1">
      <c r="B5" s="11" t="s">
        <v>75</v>
      </c>
    </row>
    <row r="6" spans="2:4" ht="12.75">
      <c r="B6" s="19" t="s">
        <v>28</v>
      </c>
      <c r="C6" s="28">
        <f>Summary!D6</f>
        <v>4000000000</v>
      </c>
      <c r="D6" s="30"/>
    </row>
    <row r="7" spans="2:5" ht="12.75">
      <c r="B7" s="14" t="s">
        <v>394</v>
      </c>
      <c r="C7" s="59">
        <f>Summary!D11</f>
        <v>5856400000.000002</v>
      </c>
      <c r="D7" s="15"/>
      <c r="E7" s="59"/>
    </row>
    <row r="8" spans="2:5" ht="12.75">
      <c r="B8" s="14" t="s">
        <v>221</v>
      </c>
      <c r="C8" s="128">
        <f>Summary!D7</f>
        <v>0.05</v>
      </c>
      <c r="D8" s="15"/>
      <c r="E8" s="59"/>
    </row>
    <row r="9" spans="2:5" ht="12.75">
      <c r="B9" s="14" t="s">
        <v>219</v>
      </c>
      <c r="C9" s="237">
        <v>0.01</v>
      </c>
      <c r="D9" s="31">
        <f>C7*C9</f>
        <v>58564000.00000002</v>
      </c>
      <c r="E9" s="59"/>
    </row>
    <row r="10" spans="2:5" ht="13.5" thickBot="1">
      <c r="B10" s="129" t="s">
        <v>220</v>
      </c>
      <c r="C10" s="238">
        <v>0.2</v>
      </c>
      <c r="D10" s="88"/>
      <c r="E10" s="59"/>
    </row>
    <row r="11" spans="2:5" ht="12.75">
      <c r="B11" s="89" t="s">
        <v>65</v>
      </c>
      <c r="C11" s="101" t="s">
        <v>65</v>
      </c>
      <c r="D11" s="59"/>
      <c r="E11" s="60"/>
    </row>
    <row r="12" ht="12.75">
      <c r="C12" s="3"/>
    </row>
    <row r="13" ht="12.75">
      <c r="C13" s="3"/>
    </row>
    <row r="14" spans="3:7" ht="12.75">
      <c r="C14" s="3"/>
      <c r="G14" s="21" t="s">
        <v>65</v>
      </c>
    </row>
    <row r="15" spans="3:7" ht="13.5" thickBot="1">
      <c r="C15" s="3"/>
      <c r="G15" s="21" t="s">
        <v>65</v>
      </c>
    </row>
    <row r="16" spans="2:12" ht="64.5" thickBot="1">
      <c r="B16" s="48" t="s">
        <v>146</v>
      </c>
      <c r="C16" s="362" t="s">
        <v>83</v>
      </c>
      <c r="D16" s="363"/>
      <c r="E16" s="46" t="s">
        <v>367</v>
      </c>
      <c r="F16" s="364" t="s">
        <v>144</v>
      </c>
      <c r="G16" s="365"/>
      <c r="H16" s="366" t="s">
        <v>370</v>
      </c>
      <c r="I16" s="367"/>
      <c r="K16" s="47" t="s">
        <v>35</v>
      </c>
      <c r="L16" s="43" t="s">
        <v>36</v>
      </c>
    </row>
    <row r="17" spans="2:12" ht="12.75">
      <c r="B17" s="143" t="s">
        <v>147</v>
      </c>
      <c r="C17" s="143" t="s">
        <v>84</v>
      </c>
      <c r="D17" s="231">
        <v>0.9</v>
      </c>
      <c r="E17" s="44"/>
      <c r="F17" s="24"/>
      <c r="G17" s="22">
        <f>D17*C9</f>
        <v>0.009000000000000001</v>
      </c>
      <c r="H17" s="24"/>
      <c r="I17" s="33">
        <f>H18</f>
        <v>0.0036000000000000008</v>
      </c>
      <c r="K17" s="49">
        <f>K18</f>
        <v>0</v>
      </c>
      <c r="L17" s="52">
        <f>L18</f>
        <v>316245.60000000015</v>
      </c>
    </row>
    <row r="18" spans="2:12" ht="25.5" outlineLevel="1">
      <c r="B18" s="68" t="s">
        <v>217</v>
      </c>
      <c r="C18" s="40">
        <v>1</v>
      </c>
      <c r="D18" s="15"/>
      <c r="E18" s="236">
        <v>0.6</v>
      </c>
      <c r="F18" s="24">
        <f>G17</f>
        <v>0.009000000000000001</v>
      </c>
      <c r="G18" s="22" t="s">
        <v>65</v>
      </c>
      <c r="H18" s="45">
        <f>F18*(1-E18)</f>
        <v>0.0036000000000000008</v>
      </c>
      <c r="I18" s="33"/>
      <c r="K18" s="69">
        <v>0</v>
      </c>
      <c r="L18" s="31">
        <f>(F18-H18)*$C$7*($C$8*$C$10)</f>
        <v>316245.60000000015</v>
      </c>
    </row>
    <row r="19" spans="2:12" ht="12.75">
      <c r="B19" s="144" t="s">
        <v>103</v>
      </c>
      <c r="C19" s="145" t="s">
        <v>84</v>
      </c>
      <c r="D19" s="16">
        <f>1-D17</f>
        <v>0.09999999999999998</v>
      </c>
      <c r="E19" s="236">
        <v>0</v>
      </c>
      <c r="F19" s="51">
        <f>G19</f>
        <v>0.0009999999999999998</v>
      </c>
      <c r="G19" s="22">
        <f>D19*C9</f>
        <v>0.0009999999999999998</v>
      </c>
      <c r="H19" s="45">
        <f>F19*(1-E19)</f>
        <v>0.0009999999999999998</v>
      </c>
      <c r="I19" s="33">
        <f>H19</f>
        <v>0.0009999999999999998</v>
      </c>
      <c r="K19" s="49">
        <v>0</v>
      </c>
      <c r="L19" s="49">
        <f>(F19-H19)*$C$7*($C$8*$C$10)</f>
        <v>0</v>
      </c>
    </row>
    <row r="20" spans="2:12" ht="13.5" thickBot="1">
      <c r="B20" s="18"/>
      <c r="C20" s="36" t="s">
        <v>85</v>
      </c>
      <c r="D20" s="37">
        <f>D17+D19</f>
        <v>1</v>
      </c>
      <c r="E20" s="42"/>
      <c r="F20" s="38">
        <f>SUM(F17:F19)</f>
        <v>0.01</v>
      </c>
      <c r="G20" s="38">
        <f>SUM(G17:G19)</f>
        <v>0.01</v>
      </c>
      <c r="H20" s="38">
        <f>SUM(H17:H19)</f>
        <v>0.004600000000000001</v>
      </c>
      <c r="I20" s="38">
        <f>SUM(I17:I19)</f>
        <v>0.004600000000000001</v>
      </c>
      <c r="K20" s="39">
        <f>SUM(K18:K19)*Diversion_flag</f>
        <v>0</v>
      </c>
      <c r="L20" s="70">
        <f>SUM(L17,L19)*Diversion_flag</f>
        <v>316245.60000000015</v>
      </c>
    </row>
    <row r="21" ht="12.75">
      <c r="D21" t="s">
        <v>65</v>
      </c>
    </row>
  </sheetData>
  <sheetProtection sheet="1" scenarios="1"/>
  <protectedRanges>
    <protectedRange sqref="C11" name="OOS Sheet"/>
  </protectedRanges>
  <mergeCells count="4">
    <mergeCell ref="F16:G16"/>
    <mergeCell ref="H16:I16"/>
    <mergeCell ref="C16:D16"/>
    <mergeCell ref="B3:L3"/>
  </mergeCells>
  <printOptions/>
  <pageMargins left="0.75" right="0.75" top="1" bottom="1" header="0.5" footer="0.5"/>
  <pageSetup horizontalDpi="300" verticalDpi="3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Sheet7"/>
  <dimension ref="B2:L30"/>
  <sheetViews>
    <sheetView workbookViewId="0" topLeftCell="A13">
      <selection activeCell="D31" sqref="D31"/>
    </sheetView>
  </sheetViews>
  <sheetFormatPr defaultColWidth="9.140625" defaultRowHeight="12.75" outlineLevelRow="1"/>
  <cols>
    <col min="1" max="1" width="7.140625" style="0" customWidth="1"/>
    <col min="2" max="2" width="48.8515625" style="0" customWidth="1"/>
    <col min="3" max="3" width="9.28125" style="0" bestFit="1" customWidth="1"/>
    <col min="4" max="4" width="15.421875" style="0" customWidth="1"/>
    <col min="5" max="5" width="14.421875" style="41" customWidth="1"/>
    <col min="6" max="6" width="9.57421875" style="21" customWidth="1"/>
    <col min="7" max="7" width="8.8515625" style="21" customWidth="1"/>
    <col min="9" max="9" width="8.140625" style="0" customWidth="1"/>
    <col min="10" max="10" width="4.00390625" style="5" customWidth="1"/>
    <col min="11" max="11" width="11.7109375" style="0" customWidth="1"/>
    <col min="12" max="12" width="12.421875" style="0" customWidth="1"/>
  </cols>
  <sheetData>
    <row r="2" spans="2:3" ht="12.75">
      <c r="B2" s="13" t="s">
        <v>148</v>
      </c>
      <c r="C2" s="205">
        <f>IF('Preliminary Information'!D19,1,0)</f>
        <v>1</v>
      </c>
    </row>
    <row r="3" spans="2:12" ht="65.25" customHeight="1">
      <c r="B3" s="382" t="s">
        <v>224</v>
      </c>
      <c r="C3" s="374"/>
      <c r="D3" s="374"/>
      <c r="E3" s="374"/>
      <c r="F3" s="374"/>
      <c r="G3" s="374"/>
      <c r="H3" s="374"/>
      <c r="I3" s="374"/>
      <c r="J3" s="374"/>
      <c r="K3" s="374"/>
      <c r="L3" s="374"/>
    </row>
    <row r="5" ht="13.5" thickBot="1">
      <c r="B5" s="11" t="s">
        <v>75</v>
      </c>
    </row>
    <row r="6" spans="2:4" ht="12.75">
      <c r="B6" s="19" t="s">
        <v>128</v>
      </c>
      <c r="C6" s="219"/>
      <c r="D6" s="125">
        <f>Summary!D6</f>
        <v>4000000000</v>
      </c>
    </row>
    <row r="7" spans="2:5" ht="12.75">
      <c r="B7" s="14" t="s">
        <v>394</v>
      </c>
      <c r="C7" s="59" t="s">
        <v>65</v>
      </c>
      <c r="D7" s="338">
        <f>Summary!D11</f>
        <v>5856400000.000002</v>
      </c>
      <c r="E7" s="59"/>
    </row>
    <row r="8" spans="2:5" ht="13.5" thickBot="1">
      <c r="B8" s="18" t="s">
        <v>149</v>
      </c>
      <c r="C8" s="239">
        <v>0.02</v>
      </c>
      <c r="D8" s="164">
        <f>C8*D7</f>
        <v>117128000.00000004</v>
      </c>
      <c r="E8" s="60"/>
    </row>
    <row r="9" spans="2:5" ht="12.75">
      <c r="B9" s="89" t="s">
        <v>65</v>
      </c>
      <c r="C9" s="101" t="s">
        <v>65</v>
      </c>
      <c r="D9" s="59"/>
      <c r="E9" s="60"/>
    </row>
    <row r="10" ht="12.75">
      <c r="C10" s="3"/>
    </row>
    <row r="11" ht="12.75">
      <c r="C11" s="3"/>
    </row>
    <row r="12" spans="3:7" ht="12.75">
      <c r="C12" s="3"/>
      <c r="G12" s="21" t="s">
        <v>65</v>
      </c>
    </row>
    <row r="13" spans="3:7" ht="13.5" thickBot="1">
      <c r="C13" s="3"/>
      <c r="G13" s="21" t="s">
        <v>65</v>
      </c>
    </row>
    <row r="14" spans="2:12" ht="52.5" customHeight="1" thickBot="1">
      <c r="B14" s="48" t="s">
        <v>150</v>
      </c>
      <c r="C14" s="362" t="s">
        <v>83</v>
      </c>
      <c r="D14" s="363"/>
      <c r="E14" s="46" t="s">
        <v>367</v>
      </c>
      <c r="F14" s="364" t="s">
        <v>156</v>
      </c>
      <c r="G14" s="365"/>
      <c r="H14" s="366" t="s">
        <v>371</v>
      </c>
      <c r="I14" s="367"/>
      <c r="K14" s="47" t="s">
        <v>35</v>
      </c>
      <c r="L14" s="43" t="s">
        <v>36</v>
      </c>
    </row>
    <row r="15" spans="2:12" ht="12.75">
      <c r="B15" s="143" t="s">
        <v>151</v>
      </c>
      <c r="C15" s="143" t="s">
        <v>84</v>
      </c>
      <c r="D15" s="72">
        <v>1</v>
      </c>
      <c r="E15" s="44"/>
      <c r="F15" s="24"/>
      <c r="G15" s="22">
        <f>D15*$C$8</f>
        <v>0.02</v>
      </c>
      <c r="H15" s="24"/>
      <c r="I15" s="33">
        <f>H16+H18+H17</f>
        <v>0.009600000000000001</v>
      </c>
      <c r="K15" s="49">
        <f>SUM(K16:K18)</f>
        <v>60906560.000000015</v>
      </c>
      <c r="L15" s="61">
        <f>L16+L17+L18</f>
        <v>0</v>
      </c>
    </row>
    <row r="16" spans="2:12" ht="12.75" outlineLevel="1">
      <c r="B16" s="27" t="s">
        <v>152</v>
      </c>
      <c r="C16" s="232">
        <v>0.4</v>
      </c>
      <c r="D16" s="15"/>
      <c r="E16" s="236">
        <v>0.6</v>
      </c>
      <c r="F16" s="24">
        <f>$G$15*C16</f>
        <v>0.008</v>
      </c>
      <c r="G16" s="22" t="s">
        <v>65</v>
      </c>
      <c r="H16" s="45">
        <f>F16*(1-E16)</f>
        <v>0.0032</v>
      </c>
      <c r="I16" s="33"/>
      <c r="K16" s="34">
        <f>(F16-H16)*$D$7</f>
        <v>28110720.00000001</v>
      </c>
      <c r="L16" s="32">
        <v>0</v>
      </c>
    </row>
    <row r="17" spans="2:12" ht="12.75" outlineLevel="1">
      <c r="B17" s="27" t="s">
        <v>153</v>
      </c>
      <c r="C17" s="232">
        <v>0.4</v>
      </c>
      <c r="D17" s="15"/>
      <c r="E17" s="236">
        <v>0.3</v>
      </c>
      <c r="F17" s="24">
        <f>$G$15*C17</f>
        <v>0.008</v>
      </c>
      <c r="G17" s="22"/>
      <c r="H17" s="45">
        <f>F17*(1-E17)</f>
        <v>0.0056</v>
      </c>
      <c r="I17" s="33"/>
      <c r="K17" s="34">
        <f>(F17-H17)*$D$7</f>
        <v>14055360.000000006</v>
      </c>
      <c r="L17" s="32">
        <v>0</v>
      </c>
    </row>
    <row r="18" spans="2:12" ht="12.75" outlineLevel="1">
      <c r="B18" s="27" t="s">
        <v>154</v>
      </c>
      <c r="C18" s="25">
        <f>1-(C16+C17)</f>
        <v>0.19999999999999996</v>
      </c>
      <c r="D18" s="15"/>
      <c r="E18" s="236">
        <v>0.8</v>
      </c>
      <c r="F18" s="24">
        <f>G15*C18</f>
        <v>0.003999999999999999</v>
      </c>
      <c r="G18" s="22" t="s">
        <v>65</v>
      </c>
      <c r="H18" s="45">
        <f>F18*(1-E18)</f>
        <v>0.0007999999999999997</v>
      </c>
      <c r="I18" s="33"/>
      <c r="K18" s="34">
        <f>(F18-H18)*$D$7</f>
        <v>18740480.000000004</v>
      </c>
      <c r="L18" s="32">
        <v>0</v>
      </c>
    </row>
    <row r="19" spans="2:12" ht="13.5" thickBot="1">
      <c r="B19" s="18"/>
      <c r="C19" s="36" t="s">
        <v>85</v>
      </c>
      <c r="D19" s="37">
        <f>D15</f>
        <v>1</v>
      </c>
      <c r="E19" s="42"/>
      <c r="F19" s="38">
        <f>SUM(F16:F18)</f>
        <v>0.02</v>
      </c>
      <c r="G19" s="38">
        <f>SUM(G15:G18)</f>
        <v>0.02</v>
      </c>
      <c r="H19" s="38">
        <f>SUM(H15:H18)</f>
        <v>0.009600000000000001</v>
      </c>
      <c r="I19" s="38">
        <f>SUM(I15:I18)</f>
        <v>0.009600000000000001</v>
      </c>
      <c r="K19" s="39">
        <f>SUM(K15)*Counterfeit_flag</f>
        <v>60906560.000000015</v>
      </c>
      <c r="L19" s="130">
        <f>L15*Counterfeit_flag</f>
        <v>0</v>
      </c>
    </row>
    <row r="20" ht="12.75">
      <c r="D20" t="s">
        <v>65</v>
      </c>
    </row>
    <row r="21" ht="13.5" thickBot="1"/>
    <row r="22" spans="2:7" ht="28.5" customHeight="1" thickBot="1">
      <c r="B22" s="85" t="s">
        <v>18</v>
      </c>
      <c r="C22" s="166" t="s">
        <v>239</v>
      </c>
      <c r="D22" s="148" t="s">
        <v>372</v>
      </c>
      <c r="E22" s="148" t="s">
        <v>35</v>
      </c>
      <c r="F22" s="75" t="s">
        <v>36</v>
      </c>
      <c r="G22" s="75" t="s">
        <v>43</v>
      </c>
    </row>
    <row r="23" spans="2:7" ht="12.75">
      <c r="B23" s="65" t="s">
        <v>260</v>
      </c>
      <c r="C23" s="83" t="s">
        <v>65</v>
      </c>
      <c r="D23" s="69"/>
      <c r="E23" s="61">
        <f>SUM(E24:E24)</f>
        <v>0</v>
      </c>
      <c r="F23" s="61">
        <f>SUM(F24:F24)</f>
        <v>0</v>
      </c>
      <c r="G23" s="52">
        <f>G24+G25</f>
        <v>35000</v>
      </c>
    </row>
    <row r="24" spans="2:7" ht="12.75" outlineLevel="1">
      <c r="B24" s="87" t="s">
        <v>262</v>
      </c>
      <c r="C24" s="233">
        <v>30000</v>
      </c>
      <c r="D24" s="234">
        <v>0.7</v>
      </c>
      <c r="E24" s="32">
        <v>0</v>
      </c>
      <c r="F24" s="32">
        <v>0</v>
      </c>
      <c r="G24" s="79">
        <f>C24*D24</f>
        <v>21000</v>
      </c>
    </row>
    <row r="25" spans="2:7" ht="12.75" outlineLevel="1">
      <c r="B25" s="87" t="s">
        <v>261</v>
      </c>
      <c r="C25" s="233">
        <v>20000</v>
      </c>
      <c r="D25" s="234">
        <v>0.7</v>
      </c>
      <c r="E25" s="32">
        <v>0</v>
      </c>
      <c r="F25" s="32">
        <v>0</v>
      </c>
      <c r="G25" s="79">
        <f>C25*D25</f>
        <v>14000</v>
      </c>
    </row>
    <row r="26" spans="2:7" ht="12.75">
      <c r="B26" s="65" t="s">
        <v>259</v>
      </c>
      <c r="C26" s="15"/>
      <c r="D26" s="64" t="s">
        <v>65</v>
      </c>
      <c r="E26" s="52">
        <f>E27</f>
        <v>585640.0000000002</v>
      </c>
      <c r="F26" s="52">
        <f>F27</f>
        <v>0</v>
      </c>
      <c r="G26" s="52">
        <f>G27</f>
        <v>0</v>
      </c>
    </row>
    <row r="27" spans="2:7" ht="12.75" outlineLevel="1">
      <c r="B27" s="177" t="s">
        <v>9</v>
      </c>
      <c r="C27" s="15"/>
      <c r="D27" s="235">
        <v>0.0001</v>
      </c>
      <c r="E27" s="195">
        <f>D27*D7</f>
        <v>585640.0000000002</v>
      </c>
      <c r="F27" s="195"/>
      <c r="G27" s="195"/>
    </row>
    <row r="28" spans="2:7" ht="12.75">
      <c r="B28" s="65" t="s">
        <v>10</v>
      </c>
      <c r="C28" s="15"/>
      <c r="D28" s="64" t="s">
        <v>65</v>
      </c>
      <c r="E28" s="52">
        <f>E29+E31</f>
        <v>0</v>
      </c>
      <c r="F28" s="52">
        <f>F29</f>
        <v>0</v>
      </c>
      <c r="G28" s="52">
        <f>G29</f>
        <v>10000</v>
      </c>
    </row>
    <row r="29" spans="2:7" ht="12.75" outlineLevel="1">
      <c r="B29" s="177" t="s">
        <v>16</v>
      </c>
      <c r="C29" s="233">
        <v>50000</v>
      </c>
      <c r="D29" s="235">
        <v>0.2</v>
      </c>
      <c r="E29" s="195">
        <v>0</v>
      </c>
      <c r="F29" s="195">
        <v>0</v>
      </c>
      <c r="G29" s="196">
        <f>D29*C29</f>
        <v>10000</v>
      </c>
    </row>
    <row r="30" spans="2:7" ht="13.5" thickBot="1">
      <c r="B30" s="147" t="s">
        <v>176</v>
      </c>
      <c r="C30" s="84"/>
      <c r="D30" s="39"/>
      <c r="E30" s="39">
        <f>(E23+E26+E28)*Counterfeit_flag</f>
        <v>585640.0000000002</v>
      </c>
      <c r="F30" s="39">
        <f>(F23+F26+F28)*Counterfeit_flag</f>
        <v>0</v>
      </c>
      <c r="G30" s="39">
        <f>(G23+G26+G28)*Counterfeit_flag</f>
        <v>45000</v>
      </c>
    </row>
  </sheetData>
  <sheetProtection sheet="1" objects="1" scenarios="1"/>
  <protectedRanges>
    <protectedRange sqref="C9" name="OOS Sheet"/>
  </protectedRanges>
  <mergeCells count="4">
    <mergeCell ref="B3:L3"/>
    <mergeCell ref="F14:G14"/>
    <mergeCell ref="H14:I14"/>
    <mergeCell ref="C14:D14"/>
  </mergeCells>
  <printOptions/>
  <pageMargins left="0.75" right="0.75" top="1" bottom="1" header="0.5" footer="0.5"/>
  <pageSetup horizontalDpi="300" verticalDpi="300" orientation="portrait" r:id="rId3"/>
  <drawing r:id="rId2"/>
  <legacyDrawing r:id="rId1"/>
</worksheet>
</file>

<file path=xl/worksheets/sheet9.xml><?xml version="1.0" encoding="utf-8"?>
<worksheet xmlns="http://schemas.openxmlformats.org/spreadsheetml/2006/main" xmlns:r="http://schemas.openxmlformats.org/officeDocument/2006/relationships">
  <sheetPr codeName="Sheet8"/>
  <dimension ref="B2:L34"/>
  <sheetViews>
    <sheetView workbookViewId="0" topLeftCell="A1">
      <selection activeCell="B2" sqref="B2"/>
    </sheetView>
  </sheetViews>
  <sheetFormatPr defaultColWidth="9.140625" defaultRowHeight="12.75" outlineLevelRow="1"/>
  <cols>
    <col min="1" max="1" width="7.140625" style="0" customWidth="1"/>
    <col min="2" max="2" width="45.28125" style="0" customWidth="1"/>
    <col min="3" max="3" width="10.8515625" style="0" customWidth="1"/>
    <col min="4" max="4" width="14.57421875" style="0" customWidth="1"/>
    <col min="5" max="5" width="14.57421875" style="41" customWidth="1"/>
    <col min="6" max="6" width="9.57421875" style="21" customWidth="1"/>
    <col min="7" max="7" width="9.7109375" style="21" customWidth="1"/>
    <col min="9" max="9" width="8.140625" style="0" customWidth="1"/>
    <col min="10" max="10" width="4.00390625" style="5" customWidth="1"/>
    <col min="11" max="11" width="11.7109375" style="0" customWidth="1"/>
    <col min="12" max="12" width="12.421875" style="0" customWidth="1"/>
  </cols>
  <sheetData>
    <row r="2" spans="2:3" ht="12.75">
      <c r="B2" s="13" t="s">
        <v>160</v>
      </c>
      <c r="C2" s="205">
        <f>IF('Preliminary Information'!D20,1,0)</f>
        <v>1</v>
      </c>
    </row>
    <row r="3" spans="2:12" ht="57" customHeight="1">
      <c r="B3" s="382" t="s">
        <v>29</v>
      </c>
      <c r="C3" s="374"/>
      <c r="D3" s="374"/>
      <c r="E3" s="374"/>
      <c r="F3" s="374"/>
      <c r="G3" s="374"/>
      <c r="H3" s="374"/>
      <c r="I3" s="374"/>
      <c r="J3" s="374"/>
      <c r="K3" s="374"/>
      <c r="L3" s="374"/>
    </row>
    <row r="5" ht="13.5" thickBot="1">
      <c r="B5" s="11" t="s">
        <v>75</v>
      </c>
    </row>
    <row r="6" spans="2:4" ht="12.75">
      <c r="B6" s="19" t="s">
        <v>128</v>
      </c>
      <c r="C6" s="219"/>
      <c r="D6" s="125">
        <f>Summary!D6</f>
        <v>4000000000</v>
      </c>
    </row>
    <row r="7" spans="2:5" ht="12.75">
      <c r="B7" s="14" t="s">
        <v>394</v>
      </c>
      <c r="C7" s="59" t="s">
        <v>65</v>
      </c>
      <c r="D7" s="338">
        <f>Summary!D11</f>
        <v>5856400000.000002</v>
      </c>
      <c r="E7" s="59"/>
    </row>
    <row r="8" spans="2:5" ht="13.5" thickBot="1">
      <c r="B8" s="18" t="s">
        <v>30</v>
      </c>
      <c r="C8" s="239">
        <v>0.01</v>
      </c>
      <c r="D8" s="164">
        <f>C8*D7</f>
        <v>58564000.00000002</v>
      </c>
      <c r="E8" s="60"/>
    </row>
    <row r="9" spans="2:5" ht="12.75">
      <c r="B9" s="89" t="s">
        <v>65</v>
      </c>
      <c r="C9" s="101" t="s">
        <v>65</v>
      </c>
      <c r="D9" s="59"/>
      <c r="E9" s="60"/>
    </row>
    <row r="10" ht="12.75">
      <c r="C10" s="3"/>
    </row>
    <row r="11" ht="12.75">
      <c r="C11" s="3"/>
    </row>
    <row r="12" spans="3:7" ht="12.75">
      <c r="C12" s="3"/>
      <c r="G12" s="21" t="s">
        <v>65</v>
      </c>
    </row>
    <row r="13" spans="3:7" ht="13.5" thickBot="1">
      <c r="C13" s="3"/>
      <c r="G13" s="21" t="s">
        <v>65</v>
      </c>
    </row>
    <row r="14" spans="2:12" ht="51.75" customHeight="1" thickBot="1">
      <c r="B14" s="48" t="s">
        <v>162</v>
      </c>
      <c r="C14" s="362" t="s">
        <v>83</v>
      </c>
      <c r="D14" s="363"/>
      <c r="E14" s="46" t="s">
        <v>367</v>
      </c>
      <c r="F14" s="364" t="s">
        <v>163</v>
      </c>
      <c r="G14" s="365"/>
      <c r="H14" s="366" t="s">
        <v>373</v>
      </c>
      <c r="I14" s="367"/>
      <c r="K14" s="47" t="s">
        <v>35</v>
      </c>
      <c r="L14" s="43" t="s">
        <v>36</v>
      </c>
    </row>
    <row r="15" spans="2:12" ht="12.75">
      <c r="B15" s="143" t="s">
        <v>91</v>
      </c>
      <c r="C15" s="143" t="s">
        <v>84</v>
      </c>
      <c r="D15" s="231">
        <v>0.1</v>
      </c>
      <c r="E15" s="44"/>
      <c r="F15" s="24"/>
      <c r="G15" s="22">
        <f>D15*$C$8</f>
        <v>0.001</v>
      </c>
      <c r="H15" s="24"/>
      <c r="I15" s="33">
        <f>H16+H17</f>
        <v>0.0008200000000000001</v>
      </c>
      <c r="K15" s="49">
        <v>0</v>
      </c>
      <c r="L15" s="131">
        <f>L16+L17</f>
        <v>1054152.0000000005</v>
      </c>
    </row>
    <row r="16" spans="2:12" ht="12.75" outlineLevel="1">
      <c r="B16" s="27" t="s">
        <v>108</v>
      </c>
      <c r="C16" s="232">
        <v>0.2</v>
      </c>
      <c r="D16" s="15"/>
      <c r="E16" s="236">
        <v>0.5</v>
      </c>
      <c r="F16" s="24">
        <f>$G$15*C16</f>
        <v>0.0002</v>
      </c>
      <c r="G16" s="22" t="s">
        <v>65</v>
      </c>
      <c r="H16" s="45">
        <f>F16*(1-E16)</f>
        <v>0.0001</v>
      </c>
      <c r="I16" s="33"/>
      <c r="K16" s="34">
        <v>0</v>
      </c>
      <c r="L16" s="132">
        <f>(F16-H16)*$D$7</f>
        <v>585640.0000000002</v>
      </c>
    </row>
    <row r="17" spans="2:12" ht="12.75" outlineLevel="1">
      <c r="B17" s="27" t="s">
        <v>93</v>
      </c>
      <c r="C17" s="25">
        <f>1-C16</f>
        <v>0.8</v>
      </c>
      <c r="D17" s="15"/>
      <c r="E17" s="236">
        <v>0.1</v>
      </c>
      <c r="F17" s="24">
        <f>G15*C17</f>
        <v>0.0008</v>
      </c>
      <c r="G17" s="22" t="s">
        <v>65</v>
      </c>
      <c r="H17" s="45">
        <f>F17*(1-E17)</f>
        <v>0.00072</v>
      </c>
      <c r="I17" s="33"/>
      <c r="K17" s="34">
        <v>0</v>
      </c>
      <c r="L17" s="132">
        <f>(F17-H17)*$D$7</f>
        <v>468512.0000000001</v>
      </c>
    </row>
    <row r="18" spans="2:12" ht="12.75">
      <c r="B18" s="143" t="s">
        <v>157</v>
      </c>
      <c r="C18" s="143" t="s">
        <v>84</v>
      </c>
      <c r="D18" s="231">
        <v>0.5</v>
      </c>
      <c r="E18" s="44"/>
      <c r="F18" s="24"/>
      <c r="G18" s="22">
        <f>D18*$C$8</f>
        <v>0.005</v>
      </c>
      <c r="H18" s="45" t="s">
        <v>65</v>
      </c>
      <c r="I18" s="33">
        <f>H19</f>
        <v>0.005</v>
      </c>
      <c r="K18" s="49">
        <v>0</v>
      </c>
      <c r="L18" s="131">
        <f>L19</f>
        <v>0</v>
      </c>
    </row>
    <row r="19" spans="2:12" ht="12.75" outlineLevel="1">
      <c r="B19" s="27" t="s">
        <v>161</v>
      </c>
      <c r="C19" s="40">
        <v>1</v>
      </c>
      <c r="D19" s="15"/>
      <c r="E19" s="236">
        <v>0</v>
      </c>
      <c r="F19" s="24">
        <f>$G$18*C19</f>
        <v>0.005</v>
      </c>
      <c r="G19" s="22" t="s">
        <v>65</v>
      </c>
      <c r="H19" s="45">
        <f>F19*(1-E19)</f>
        <v>0.005</v>
      </c>
      <c r="I19" s="15"/>
      <c r="K19" s="34">
        <v>0</v>
      </c>
      <c r="L19" s="132">
        <f>(F19-H19)*$D$7</f>
        <v>0</v>
      </c>
    </row>
    <row r="20" spans="2:12" ht="12.75">
      <c r="B20" s="144" t="s">
        <v>159</v>
      </c>
      <c r="C20" s="145" t="s">
        <v>84</v>
      </c>
      <c r="D20" s="231">
        <v>0.05</v>
      </c>
      <c r="E20" s="44"/>
      <c r="F20" s="24" t="s">
        <v>65</v>
      </c>
      <c r="G20" s="22">
        <f>D20*$C$8</f>
        <v>0.0005</v>
      </c>
      <c r="H20" s="45"/>
      <c r="I20" s="22">
        <f>H21</f>
        <v>0.00015000000000000001</v>
      </c>
      <c r="K20" s="49">
        <f>K21</f>
        <v>2049740.0000000007</v>
      </c>
      <c r="L20" s="133">
        <f>L21</f>
        <v>0</v>
      </c>
    </row>
    <row r="21" spans="2:12" ht="12.75" outlineLevel="1">
      <c r="B21" s="27" t="s">
        <v>158</v>
      </c>
      <c r="C21" s="40">
        <v>1</v>
      </c>
      <c r="D21" s="15"/>
      <c r="E21" s="236">
        <v>0.7</v>
      </c>
      <c r="F21" s="24">
        <f>$G$20*C21</f>
        <v>0.0005</v>
      </c>
      <c r="G21" s="22" t="s">
        <v>65</v>
      </c>
      <c r="H21" s="45">
        <f>F21*(1-E21)</f>
        <v>0.00015000000000000001</v>
      </c>
      <c r="I21" s="33"/>
      <c r="K21" s="34">
        <f>(F21-H21)*$D$7</f>
        <v>2049740.0000000007</v>
      </c>
      <c r="L21" s="134">
        <v>0</v>
      </c>
    </row>
    <row r="22" spans="2:12" ht="12.75">
      <c r="B22" s="143" t="s">
        <v>218</v>
      </c>
      <c r="C22" s="143" t="s">
        <v>84</v>
      </c>
      <c r="D22" s="231">
        <v>0.3</v>
      </c>
      <c r="E22" s="44"/>
      <c r="F22" s="24"/>
      <c r="G22" s="22">
        <f>D22*$C$8</f>
        <v>0.003</v>
      </c>
      <c r="H22" s="45" t="s">
        <v>65</v>
      </c>
      <c r="I22" s="33">
        <f>H23</f>
        <v>0.0009000000000000002</v>
      </c>
      <c r="K22" s="49">
        <f>K23</f>
        <v>12298440.000000004</v>
      </c>
      <c r="L22" s="135">
        <f>L23</f>
        <v>0</v>
      </c>
    </row>
    <row r="23" spans="2:12" ht="12.75" outlineLevel="1">
      <c r="B23" s="27" t="s">
        <v>20</v>
      </c>
      <c r="C23" s="40">
        <v>1</v>
      </c>
      <c r="D23" s="15"/>
      <c r="E23" s="236">
        <v>0.7</v>
      </c>
      <c r="F23" s="24">
        <f>$G$22*C23</f>
        <v>0.003</v>
      </c>
      <c r="G23" s="22" t="s">
        <v>65</v>
      </c>
      <c r="H23" s="45">
        <f>F23*(1-E23)</f>
        <v>0.0009000000000000002</v>
      </c>
      <c r="I23" s="33"/>
      <c r="K23" s="34">
        <f>(F23-H23)*D7</f>
        <v>12298440.000000004</v>
      </c>
      <c r="L23" s="136">
        <v>0</v>
      </c>
    </row>
    <row r="24" spans="2:12" ht="12.75">
      <c r="B24" s="144" t="s">
        <v>103</v>
      </c>
      <c r="C24" s="145" t="s">
        <v>84</v>
      </c>
      <c r="D24" s="16">
        <f>1-(D15+D18+D20+D22)</f>
        <v>0.050000000000000044</v>
      </c>
      <c r="E24" s="236">
        <v>0.2</v>
      </c>
      <c r="F24" s="51">
        <f>G24</f>
        <v>0.0005000000000000004</v>
      </c>
      <c r="G24" s="22">
        <f>D24*$C$8</f>
        <v>0.0005000000000000004</v>
      </c>
      <c r="H24" s="45">
        <f>F24*(1-E24)</f>
        <v>0.0004000000000000004</v>
      </c>
      <c r="I24" s="33">
        <f>H24</f>
        <v>0.0004000000000000004</v>
      </c>
      <c r="K24" s="49">
        <f>(F24-H24)*$D$7</f>
        <v>585640.0000000005</v>
      </c>
      <c r="L24" s="135">
        <v>0</v>
      </c>
    </row>
    <row r="25" spans="2:12" ht="13.5" thickBot="1">
      <c r="B25" s="18"/>
      <c r="C25" s="36" t="s">
        <v>85</v>
      </c>
      <c r="D25" s="37">
        <f>D15+D18+D20+D22+D24</f>
        <v>1</v>
      </c>
      <c r="E25" s="42">
        <v>0.01</v>
      </c>
      <c r="F25" s="38">
        <f>SUM(F15:F24)</f>
        <v>0.010000000000000002</v>
      </c>
      <c r="G25" s="38">
        <f>SUM(G15:G24)</f>
        <v>0.010000000000000002</v>
      </c>
      <c r="H25" s="38">
        <f>SUM(H15:H24)</f>
        <v>0.007270000000000001</v>
      </c>
      <c r="I25" s="38">
        <f>SUM(I15:I24)</f>
        <v>0.007270000000000001</v>
      </c>
      <c r="K25" s="39">
        <f>SUM(K15,K18,K20,K22,K24)*Recon_flag</f>
        <v>14933820.000000004</v>
      </c>
      <c r="L25" s="137">
        <f>SUM(L15,L18,L20,L22,L24)*Recon_flag</f>
        <v>1054152.0000000005</v>
      </c>
    </row>
    <row r="26" ht="12.75">
      <c r="D26" t="s">
        <v>65</v>
      </c>
    </row>
    <row r="27" ht="13.5" thickBot="1">
      <c r="F27" s="230"/>
    </row>
    <row r="28" spans="2:7" ht="39" thickBot="1">
      <c r="B28" s="85" t="s">
        <v>17</v>
      </c>
      <c r="C28" s="166" t="s">
        <v>239</v>
      </c>
      <c r="D28" s="148" t="s">
        <v>374</v>
      </c>
      <c r="E28" s="148" t="s">
        <v>35</v>
      </c>
      <c r="F28" s="75" t="s">
        <v>36</v>
      </c>
      <c r="G28" s="75" t="s">
        <v>43</v>
      </c>
    </row>
    <row r="29" spans="2:7" ht="12.75">
      <c r="B29" s="65" t="s">
        <v>11</v>
      </c>
      <c r="C29" s="83" t="s">
        <v>65</v>
      </c>
      <c r="D29" s="69"/>
      <c r="E29" s="61">
        <f>SUM(E30:E30)</f>
        <v>70000</v>
      </c>
      <c r="F29" s="61">
        <f>SUM(F30:F30)</f>
        <v>0</v>
      </c>
      <c r="G29" s="61">
        <f>SUM(G30:G30)</f>
        <v>0</v>
      </c>
    </row>
    <row r="30" spans="2:7" ht="25.5" outlineLevel="1">
      <c r="B30" s="177" t="s">
        <v>12</v>
      </c>
      <c r="C30" s="233">
        <v>100000</v>
      </c>
      <c r="D30" s="234">
        <v>0.7</v>
      </c>
      <c r="E30" s="32">
        <f>C30*D30</f>
        <v>70000</v>
      </c>
      <c r="F30" s="32">
        <v>0</v>
      </c>
      <c r="G30" s="79">
        <v>0</v>
      </c>
    </row>
    <row r="31" spans="2:7" ht="12.75">
      <c r="B31" s="65" t="s">
        <v>13</v>
      </c>
      <c r="C31" s="15"/>
      <c r="D31" s="64"/>
      <c r="E31" s="52">
        <f>E32+E33</f>
        <v>0</v>
      </c>
      <c r="F31" s="52">
        <f>F32+F33</f>
        <v>0</v>
      </c>
      <c r="G31" s="52">
        <f>G32+G33</f>
        <v>52000</v>
      </c>
    </row>
    <row r="32" spans="2:7" ht="25.5" outlineLevel="1">
      <c r="B32" s="177" t="s">
        <v>14</v>
      </c>
      <c r="C32" s="233">
        <v>50000</v>
      </c>
      <c r="D32" s="234">
        <v>0.8</v>
      </c>
      <c r="E32" s="195">
        <f>D32*D16</f>
        <v>0</v>
      </c>
      <c r="F32" s="195">
        <v>0</v>
      </c>
      <c r="G32" s="195">
        <f>C32*D32</f>
        <v>40000</v>
      </c>
    </row>
    <row r="33" spans="2:7" ht="38.25" outlineLevel="1">
      <c r="B33" s="177" t="s">
        <v>15</v>
      </c>
      <c r="C33" s="233">
        <v>15000</v>
      </c>
      <c r="D33" s="234">
        <v>0.8</v>
      </c>
      <c r="E33" s="63">
        <v>0</v>
      </c>
      <c r="F33" s="63">
        <v>0</v>
      </c>
      <c r="G33" s="195">
        <f>C33*D33</f>
        <v>12000</v>
      </c>
    </row>
    <row r="34" spans="2:7" ht="13.5" thickBot="1">
      <c r="B34" s="147" t="s">
        <v>176</v>
      </c>
      <c r="C34" s="343">
        <f>SUM(C30:C33)</f>
        <v>165000</v>
      </c>
      <c r="D34" s="39"/>
      <c r="E34" s="39">
        <f>(E29+E31)*Recon_flag</f>
        <v>70000</v>
      </c>
      <c r="F34" s="39">
        <f>(F29+F31)*Recon_flag</f>
        <v>0</v>
      </c>
      <c r="G34" s="39">
        <f>(G29+G31)*Recon_flag</f>
        <v>52000</v>
      </c>
    </row>
  </sheetData>
  <sheetProtection sheet="1" objects="1" scenarios="1"/>
  <protectedRanges>
    <protectedRange sqref="C9" name="OOS Sheet"/>
  </protectedRanges>
  <mergeCells count="4">
    <mergeCell ref="F14:G14"/>
    <mergeCell ref="H14:I14"/>
    <mergeCell ref="C14:D14"/>
    <mergeCell ref="B3:L3"/>
  </mergeCells>
  <printOptions/>
  <pageMargins left="0.75" right="0.75" top="1" bottom="1" header="0.5" footer="0.5"/>
  <pageSetup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Hau Lee and Barchi Peleg</Manager>
  <Company>Stanford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RFID Calculator</dc:title>
  <dc:subject>RFID</dc:subject>
  <dc:creator>Paresh Rajwat (prajwat@stanfordalumni.org)</dc:creator>
  <cp:keywords>RFID, Calculator</cp:keywords>
  <dc:description>This calculator has been jointly prepared by Stanford Global Supply Chain Management Forum and MIT. The project has been sponsored by EPCglobal.</dc:description>
  <cp:lastModifiedBy>Sandy Mallalieu</cp:lastModifiedBy>
  <dcterms:created xsi:type="dcterms:W3CDTF">2004-08-04T17:17:21Z</dcterms:created>
  <dcterms:modified xsi:type="dcterms:W3CDTF">2006-02-17T23:45:07Z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