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465" windowHeight="6900" tabRatio="615" activeTab="0"/>
  </bookViews>
  <sheets>
    <sheet name="Inputs" sheetId="1" r:id="rId1"/>
    <sheet name="Costs &amp; Inputs" sheetId="2" r:id="rId2"/>
    <sheet name="Wafer Thinning" sheetId="3" r:id="rId3"/>
    <sheet name="Dicing" sheetId="4" r:id="rId4"/>
    <sheet name="Traditional Assem" sheetId="5" r:id="rId5"/>
    <sheet name="Flip Chip Assem" sheetId="6" r:id="rId6"/>
    <sheet name="Tag Test" sheetId="7" r:id="rId7"/>
    <sheet name="DUMMY1" sheetId="8" r:id="rId8"/>
    <sheet name="DUMMY2" sheetId="9" r:id="rId9"/>
    <sheet name="DUMMY3" sheetId="10" r:id="rId10"/>
  </sheets>
  <externalReferences>
    <externalReference r:id="rId13"/>
  </externalReferences>
  <definedNames/>
  <calcPr fullCalcOnLoad="1"/>
</workbook>
</file>

<file path=xl/comments1.xml><?xml version="1.0" encoding="utf-8"?>
<comments xmlns="http://schemas.openxmlformats.org/spreadsheetml/2006/main">
  <authors>
    <author>Debjani</author>
  </authors>
  <commentList>
    <comment ref="E36" authorId="0">
      <text>
        <r>
          <rPr>
            <sz val="8"/>
            <rFont val="Tahoma"/>
            <family val="0"/>
          </rPr>
          <t xml:space="preserve">Used only in Run Type 1 to fix the number of machines
</t>
        </r>
      </text>
    </comment>
  </commentList>
</comments>
</file>

<file path=xl/comments10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comments2.xml><?xml version="1.0" encoding="utf-8"?>
<comments xmlns="http://schemas.openxmlformats.org/spreadsheetml/2006/main">
  <authors>
    <author>Debjani</author>
    <author>sesarma</author>
  </authors>
  <commentList>
    <comment ref="B5" authorId="0">
      <text>
        <r>
          <rPr>
            <sz val="8"/>
            <rFont val="Tahoma"/>
            <family val="0"/>
          </rPr>
          <t xml:space="preserve">This is a strasbaugh. Machine number 6EGCMP. For 200MM Diammeter piece.  
</t>
        </r>
      </text>
    </comment>
    <comment ref="B6" authorId="0">
      <text>
        <r>
          <rPr>
            <sz val="8"/>
            <rFont val="Tahoma"/>
            <family val="0"/>
          </rPr>
          <t xml:space="preserve">Piece has Kulickesoffa 350mm/sec.  The accuracy of the machine is 2 um which suggests that it could be used of die seperation.
</t>
        </r>
      </text>
    </comment>
    <comment ref="B7" authorId="0">
      <text>
        <r>
          <rPr>
            <sz val="8"/>
            <rFont val="Tahoma"/>
            <family val="0"/>
          </rPr>
          <t xml:space="preserve">Delta Design 1888
</t>
        </r>
      </text>
    </comment>
    <comment ref="D3" authorId="0">
      <text>
        <r>
          <rPr>
            <sz val="8"/>
            <rFont val="Tahoma"/>
            <family val="0"/>
          </rPr>
          <t xml:space="preserve">Used only in Run Type 1 to fix the number of machines
</t>
        </r>
      </text>
    </comment>
    <comment ref="B9" authorId="0">
      <text>
        <r>
          <rPr>
            <sz val="8"/>
            <rFont val="Tahoma"/>
            <family val="0"/>
          </rPr>
          <t xml:space="preserve">This is a custom machine from Toray.  
</t>
        </r>
      </text>
    </comment>
    <comment ref="C6" authorId="0">
      <text>
        <r>
          <rPr>
            <sz val="8"/>
            <rFont val="Tahoma"/>
            <family val="0"/>
          </rPr>
          <t>This stage cannot be skipped</t>
        </r>
      </text>
    </comment>
    <comment ref="D18" authorId="1">
      <text>
        <r>
          <rPr>
            <b/>
            <sz val="8"/>
            <rFont val="Tahoma"/>
            <family val="0"/>
          </rPr>
          <t>From municipal water and distilling equipment costs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From London metals exchange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rFont val="Tahoma"/>
            <family val="0"/>
          </rPr>
          <t>London metals exchange</t>
        </r>
        <r>
          <rPr>
            <sz val="8"/>
            <rFont val="Tahoma"/>
            <family val="0"/>
          </rPr>
          <t xml:space="preserve">
</t>
        </r>
      </text>
    </comment>
    <comment ref="H18" authorId="1">
      <text>
        <r>
          <rPr>
            <b/>
            <sz val="8"/>
            <rFont val="Tahoma"/>
            <family val="0"/>
          </rPr>
          <t>London metals exchange</t>
        </r>
        <r>
          <rPr>
            <sz val="8"/>
            <rFont val="Tahoma"/>
            <family val="0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0"/>
          </rPr>
          <t>gswamy: Uses a stamping process similar to paper clips 10X100 cost $2.7 list or $0.90 - results in 0.09c per antenna MIT joining process $40 per wafer - 0.1c per chip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comments5.xml><?xml version="1.0" encoding="utf-8"?>
<comments xmlns="http://schemas.openxmlformats.org/spreadsheetml/2006/main">
  <authors>
    <author>Debjani</author>
    <author>sesarma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  <comment ref="K10" authorId="1">
      <text>
        <r>
          <rPr>
            <b/>
            <sz val="8"/>
            <rFont val="Tahoma"/>
            <family val="0"/>
          </rPr>
          <t>Antenna Inlets at the same rate as input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comments7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comments8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comments9.xml><?xml version="1.0" encoding="utf-8"?>
<comments xmlns="http://schemas.openxmlformats.org/spreadsheetml/2006/main">
  <authors>
    <author>Debjani</author>
  </authors>
  <commentList>
    <comment ref="H2" authorId="0">
      <text>
        <r>
          <rPr>
            <b/>
            <sz val="8"/>
            <rFont val="Tahoma"/>
            <family val="0"/>
          </rPr>
          <t>Debjani:</t>
        </r>
        <r>
          <rPr>
            <sz val="8"/>
            <rFont val="Tahoma"/>
            <family val="0"/>
          </rPr>
          <t xml:space="preserve">
Change the machine type on each sheet for all cells in this box</t>
        </r>
      </text>
    </comment>
  </commentList>
</comments>
</file>

<file path=xl/sharedStrings.xml><?xml version="1.0" encoding="utf-8"?>
<sst xmlns="http://schemas.openxmlformats.org/spreadsheetml/2006/main" count="783" uniqueCount="166">
  <si>
    <t>Capital</t>
  </si>
  <si>
    <t>Comments</t>
  </si>
  <si>
    <t>Raw Material</t>
  </si>
  <si>
    <t>Labor</t>
  </si>
  <si>
    <t>Utilities</t>
  </si>
  <si>
    <t>Misc</t>
  </si>
  <si>
    <t>Machine 2</t>
  </si>
  <si>
    <t>Process</t>
  </si>
  <si>
    <t>Air</t>
  </si>
  <si>
    <t>Distilled Water</t>
  </si>
  <si>
    <t>Nitrogen</t>
  </si>
  <si>
    <t>Utilization</t>
  </si>
  <si>
    <t xml:space="preserve"> </t>
  </si>
  <si>
    <t>Floor space</t>
  </si>
  <si>
    <t>Active Life</t>
  </si>
  <si>
    <t>Power</t>
  </si>
  <si>
    <t>Cost</t>
  </si>
  <si>
    <t>Transport Cost</t>
  </si>
  <si>
    <t>Other</t>
  </si>
  <si>
    <t>Inputs</t>
  </si>
  <si>
    <t>Yield</t>
  </si>
  <si>
    <t>Aluminum</t>
  </si>
  <si>
    <t>Nickel</t>
  </si>
  <si>
    <t>Gold</t>
  </si>
  <si>
    <t>Maintainence cost</t>
  </si>
  <si>
    <t>Run Type</t>
  </si>
  <si>
    <t>etc</t>
  </si>
  <si>
    <t>Units</t>
  </si>
  <si>
    <t>of total cost</t>
  </si>
  <si>
    <t>Operator</t>
  </si>
  <si>
    <t>Supervisor</t>
  </si>
  <si>
    <t>Engineer</t>
  </si>
  <si>
    <t xml:space="preserve">Technical </t>
  </si>
  <si>
    <t>Overhead</t>
  </si>
  <si>
    <t>Water</t>
  </si>
  <si>
    <t>Machine 3</t>
  </si>
  <si>
    <t>Machine 4</t>
  </si>
  <si>
    <t>Unit/Hr</t>
  </si>
  <si>
    <t>Yr</t>
  </si>
  <si>
    <t>Wattage</t>
  </si>
  <si>
    <t xml:space="preserve">Process Description :  </t>
  </si>
  <si>
    <t>Wafer input Die Output</t>
  </si>
  <si>
    <t>$</t>
  </si>
  <si>
    <t>$/Yr</t>
  </si>
  <si>
    <t>$/Hr</t>
  </si>
  <si>
    <t>Wafer</t>
  </si>
  <si>
    <t>$/Unit</t>
  </si>
  <si>
    <t>Machine Cost</t>
  </si>
  <si>
    <t>$/KWH</t>
  </si>
  <si>
    <t># Machines</t>
  </si>
  <si>
    <t># of Days in yr</t>
  </si>
  <si>
    <t>Days</t>
  </si>
  <si>
    <t>Hr/Day</t>
  </si>
  <si>
    <t>%</t>
  </si>
  <si>
    <t>Thinning</t>
  </si>
  <si>
    <t>Dicing</t>
  </si>
  <si>
    <t>$/L</t>
  </si>
  <si>
    <t>Units of Usage</t>
  </si>
  <si>
    <t>Man/Hr</t>
  </si>
  <si>
    <t>Output</t>
  </si>
  <si>
    <t>Floor Space</t>
  </si>
  <si>
    <t>Sq Ft</t>
  </si>
  <si>
    <t>KW</t>
  </si>
  <si>
    <t>$/Sq Ft/Yr</t>
  </si>
  <si>
    <t>Total Cost</t>
  </si>
  <si>
    <t>Machine Specs and Costs</t>
  </si>
  <si>
    <t>Raw Material Cost</t>
  </si>
  <si>
    <t>Utilities Cost</t>
  </si>
  <si>
    <t>Labor Cost</t>
  </si>
  <si>
    <t>Process Metrics</t>
  </si>
  <si>
    <t>Unit Cost</t>
  </si>
  <si>
    <t>Usage</t>
  </si>
  <si>
    <t>Units/Hr</t>
  </si>
  <si>
    <t xml:space="preserve">Machine 1 </t>
  </si>
  <si>
    <t>FS Overhead</t>
  </si>
  <si>
    <t>Wafer Diam</t>
  </si>
  <si>
    <t>Die Length</t>
  </si>
  <si>
    <t>Die Breadth</t>
  </si>
  <si>
    <t xml:space="preserve">Loss </t>
  </si>
  <si>
    <t>mm</t>
  </si>
  <si>
    <t>Throughtput</t>
  </si>
  <si>
    <t>Overall Overhead</t>
  </si>
  <si>
    <t>0 for Wafer output and 1 for  Die output</t>
  </si>
  <si>
    <t>Wafer input Wafer output</t>
  </si>
  <si>
    <t>$/Wafer</t>
  </si>
  <si>
    <t>$/Die</t>
  </si>
  <si>
    <t>Wafer/Die Ratio</t>
  </si>
  <si>
    <t>Pipeline Tput</t>
  </si>
  <si>
    <t>Input</t>
  </si>
  <si>
    <t>Die input Die Output</t>
  </si>
  <si>
    <t>0 is a line maximized run, 1 is a unit machine run</t>
  </si>
  <si>
    <t>Run 0 Cost/Unit</t>
  </si>
  <si>
    <t>Run 1 Cost/Unit</t>
  </si>
  <si>
    <t>Line designed for Max efficiency with stacked machines for max throughput</t>
  </si>
  <si>
    <t>Throughputs</t>
  </si>
  <si>
    <t>Tag Test</t>
  </si>
  <si>
    <t xml:space="preserve">Machine Use </t>
  </si>
  <si>
    <t>Machine/Process 1</t>
  </si>
  <si>
    <t>Machine/Process 2</t>
  </si>
  <si>
    <t>Machine/Process 3</t>
  </si>
  <si>
    <t>Machine/Process 4</t>
  </si>
  <si>
    <t>Machine/Process 5</t>
  </si>
  <si>
    <t>Machine/Process 6</t>
  </si>
  <si>
    <t>Machine/Process 7</t>
  </si>
  <si>
    <t>Machine/Process 8</t>
  </si>
  <si>
    <t>Traditional Assembly</t>
  </si>
  <si>
    <t>Flip Chip Assembly</t>
  </si>
  <si>
    <t>Antenna Inlets</t>
  </si>
  <si>
    <t>Used</t>
  </si>
  <si>
    <t>Die/Hr</t>
  </si>
  <si>
    <t>Used Tput</t>
  </si>
  <si>
    <t>Machine 5</t>
  </si>
  <si>
    <t>Machine 6</t>
  </si>
  <si>
    <t>Machine 7</t>
  </si>
  <si>
    <t>Machine 8</t>
  </si>
  <si>
    <t>$/lb</t>
  </si>
  <si>
    <t>Management</t>
  </si>
  <si>
    <t>Lb/Unit</t>
  </si>
  <si>
    <t>L/Hr/Machine</t>
  </si>
  <si>
    <t>Man/Hr/Machine</t>
  </si>
  <si>
    <t>Other Var</t>
  </si>
  <si>
    <t>Summary Cost</t>
  </si>
  <si>
    <t>This sheet gives you a snapshot of the type of run and the corresponding cost and throughput</t>
  </si>
  <si>
    <t>The next sheet Costs and Inputs have the most detailed set of inputs about each machine/process step used, the costs of raw material, labor etc.</t>
  </si>
  <si>
    <t xml:space="preserve">The following sheet sensitivity is a complete output sheet that maps the costs againsts throughputs at each step and gives a summary of the different types of costs </t>
  </si>
  <si>
    <t>The following 8 sheets designated each of the process steps with inputs and outputs per process step</t>
  </si>
  <si>
    <t>Figures in black cannot be changed</t>
  </si>
  <si>
    <t>Only change figures in red which are inputs with one exception*</t>
  </si>
  <si>
    <t>*It is very important to remember that you can only change the number of machines in Run Type 1 and not during run type 0 when it is calculated</t>
  </si>
  <si>
    <t>Instructions - Please read before usage</t>
  </si>
  <si>
    <t>Figures shaded in blue enclose results and cannot be changed</t>
  </si>
  <si>
    <t>Overall labor used</t>
  </si>
  <si>
    <t>Pipeline Thpt(die)</t>
  </si>
  <si>
    <t>Also number of machines cannot be zero for any stage.  If you do not want to used a process step you can switch off that step instead</t>
  </si>
  <si>
    <t>0 or 1</t>
  </si>
  <si>
    <t>Throughput inputs should always be non zero</t>
  </si>
  <si>
    <t>Cost($/Hr)</t>
  </si>
  <si>
    <t>DUMMY</t>
  </si>
  <si>
    <t>CAPEX Recovery</t>
  </si>
  <si>
    <t>Non-conductive/Underfill epoxy</t>
  </si>
  <si>
    <t>Other Raw Materials</t>
  </si>
  <si>
    <t>Pads</t>
  </si>
  <si>
    <t>Conditioners</t>
  </si>
  <si>
    <t>/Unit</t>
  </si>
  <si>
    <t>Thinning Pads</t>
  </si>
  <si>
    <t>Thinning Conditioners</t>
  </si>
  <si>
    <t>Unit</t>
  </si>
  <si>
    <t>Volume multiplier for semi</t>
  </si>
  <si>
    <t>Designated number of dies at each stage, process run at max possible throughput</t>
  </si>
  <si>
    <t>Cumulative</t>
  </si>
  <si>
    <t>Bumping cost</t>
  </si>
  <si>
    <t>Not to be used</t>
  </si>
  <si>
    <t>Number Machines</t>
  </si>
  <si>
    <t>Total Yearly Tag Throughput</t>
  </si>
  <si>
    <t>Yearly Throughput</t>
  </si>
  <si>
    <t>Number of Machines Input</t>
  </si>
  <si>
    <t>Number of Machines Outputs</t>
  </si>
  <si>
    <t>0 or 1 (0 implies process stage not used</t>
  </si>
  <si>
    <t>Tags/Dies</t>
  </si>
  <si>
    <t>Cumulative costs or stage costs displayed for paper results</t>
  </si>
  <si>
    <t>Total Tag &amp; IC Cost</t>
  </si>
  <si>
    <t>Assumed</t>
  </si>
  <si>
    <t>Result</t>
  </si>
  <si>
    <t>Antenna cost is included as input</t>
  </si>
  <si>
    <t>Only to be used for Run Type 0 Cannot be less than 0.1</t>
  </si>
  <si>
    <t xml:space="preserve"> Else it's unstable from a cost perspective (less than a wafer gets pushed through)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</si>
</sst>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0"/>
    <numFmt numFmtId="166" formatCode="0.00000"/>
    <numFmt numFmtId="167" formatCode="_(&quot;$&quot;* #,##0.000_);_(&quot;$&quot;* \(#,##0.000\);_(&quot;$&quot;* &quot;-&quot;??_);_(@_)"/>
    <numFmt numFmtId="168" formatCode="[$-409]h:mm:ss\ AM/PM"/>
    <numFmt numFmtId="169" formatCode="0.0"/>
    <numFmt numFmtId="170" formatCode="0.000"/>
    <numFmt numFmtId="171" formatCode="0.0000"/>
    <numFmt numFmtId="172" formatCode="_(&quot;$&quot;* #,##0.00000_);_(&quot;$&quot;* \(#,##0.00000\);_(&quot;$&quot;* &quot;-&quot;?????_);_(@_)"/>
    <numFmt numFmtId="173" formatCode="#,##0.00000_);\(#,##0.00000\)"/>
    <numFmt numFmtId="174" formatCode="&quot;$&quot;#,##0.000000"/>
    <numFmt numFmtId="175" formatCode="#,##0.00000000"/>
    <numFmt numFmtId="176" formatCode="&quot;$&quot;#,##0.00000000"/>
    <numFmt numFmtId="177" formatCode="0.00000000"/>
    <numFmt numFmtId="178" formatCode="&quot;$&quot;#,##0.00000000000000000"/>
    <numFmt numFmtId="179" formatCode="&quot;$&quot;#,##0.000000000000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3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9" fontId="2" fillId="0" borderId="0" xfId="2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>
      <alignment wrapText="1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2" borderId="0" xfId="0" applyFill="1" applyBorder="1" applyAlignment="1">
      <alignment wrapText="1"/>
    </xf>
    <xf numFmtId="44" fontId="0" fillId="0" borderId="0" xfId="17" applyAlignment="1">
      <alignment/>
    </xf>
    <xf numFmtId="0" fontId="1" fillId="3" borderId="3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1" fillId="3" borderId="5" xfId="0" applyFont="1" applyFill="1" applyBorder="1" applyAlignment="1">
      <alignment wrapText="1"/>
    </xf>
    <xf numFmtId="9" fontId="0" fillId="2" borderId="6" xfId="21" applyFont="1" applyFill="1" applyBorder="1" applyAlignment="1">
      <alignment/>
    </xf>
    <xf numFmtId="0" fontId="0" fillId="0" borderId="7" xfId="0" applyFill="1" applyBorder="1" applyAlignment="1">
      <alignment/>
    </xf>
    <xf numFmtId="165" fontId="0" fillId="0" borderId="8" xfId="0" applyNumberFormat="1" applyFill="1" applyBorder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" fontId="1" fillId="4" borderId="9" xfId="0" applyNumberFormat="1" applyFont="1" applyFill="1" applyBorder="1" applyAlignment="1">
      <alignment/>
    </xf>
    <xf numFmtId="44" fontId="0" fillId="0" borderId="0" xfId="17" applyFill="1" applyAlignment="1">
      <alignment/>
    </xf>
    <xf numFmtId="0" fontId="2" fillId="5" borderId="0" xfId="0" applyFont="1" applyFill="1" applyAlignment="1">
      <alignment/>
    </xf>
    <xf numFmtId="44" fontId="0" fillId="5" borderId="0" xfId="17" applyFill="1" applyAlignment="1">
      <alignment/>
    </xf>
    <xf numFmtId="0" fontId="0" fillId="0" borderId="0" xfId="0" applyFill="1" applyAlignment="1">
      <alignment wrapText="1"/>
    </xf>
    <xf numFmtId="0" fontId="1" fillId="6" borderId="0" xfId="0" applyFont="1" applyFill="1" applyAlignment="1">
      <alignment/>
    </xf>
    <xf numFmtId="0" fontId="0" fillId="0" borderId="0" xfId="0" applyAlignment="1">
      <alignment horizontal="right"/>
    </xf>
    <xf numFmtId="0" fontId="2" fillId="5" borderId="0" xfId="0" applyFont="1" applyFill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3" xfId="0" applyFill="1" applyBorder="1" applyAlignment="1">
      <alignment wrapText="1"/>
    </xf>
    <xf numFmtId="165" fontId="0" fillId="7" borderId="6" xfId="0" applyNumberFormat="1" applyFill="1" applyBorder="1" applyAlignment="1">
      <alignment/>
    </xf>
    <xf numFmtId="44" fontId="0" fillId="7" borderId="6" xfId="0" applyNumberFormat="1" applyFill="1" applyBorder="1" applyAlignment="1">
      <alignment/>
    </xf>
    <xf numFmtId="44" fontId="0" fillId="7" borderId="10" xfId="0" applyNumberFormat="1" applyFill="1" applyBorder="1" applyAlignment="1">
      <alignment/>
    </xf>
    <xf numFmtId="172" fontId="0" fillId="7" borderId="10" xfId="17" applyNumberFormat="1" applyFill="1" applyBorder="1" applyAlignment="1">
      <alignment/>
    </xf>
    <xf numFmtId="173" fontId="0" fillId="7" borderId="10" xfId="17" applyNumberForma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10" fillId="0" borderId="0" xfId="0" applyFont="1" applyAlignment="1">
      <alignment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1" fillId="2" borderId="0" xfId="0" applyFont="1" applyFill="1" applyAlignment="1">
      <alignment horizontal="right"/>
    </xf>
    <xf numFmtId="9" fontId="11" fillId="2" borderId="0" xfId="21" applyFont="1" applyFill="1" applyAlignment="1">
      <alignment/>
    </xf>
    <xf numFmtId="6" fontId="11" fillId="2" borderId="0" xfId="0" applyNumberFormat="1" applyFont="1" applyFill="1" applyAlignment="1">
      <alignment/>
    </xf>
    <xf numFmtId="164" fontId="12" fillId="2" borderId="0" xfId="0" applyNumberFormat="1" applyFont="1" applyFill="1" applyAlignment="1">
      <alignment/>
    </xf>
    <xf numFmtId="0" fontId="0" fillId="2" borderId="3" xfId="0" applyFill="1" applyBorder="1" applyAlignment="1">
      <alignment wrapText="1"/>
    </xf>
    <xf numFmtId="1" fontId="1" fillId="8" borderId="6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3" fontId="0" fillId="4" borderId="12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 wrapText="1"/>
    </xf>
    <xf numFmtId="0" fontId="0" fillId="10" borderId="0" xfId="0" applyFont="1" applyFill="1" applyAlignment="1">
      <alignment wrapText="1"/>
    </xf>
    <xf numFmtId="0" fontId="2" fillId="10" borderId="0" xfId="0" applyFont="1" applyFill="1" applyAlignment="1">
      <alignment/>
    </xf>
    <xf numFmtId="171" fontId="0" fillId="11" borderId="0" xfId="0" applyNumberFormat="1" applyFont="1" applyFill="1" applyAlignment="1">
      <alignment/>
    </xf>
    <xf numFmtId="3" fontId="0" fillId="11" borderId="0" xfId="0" applyNumberFormat="1" applyFill="1" applyAlignment="1">
      <alignment/>
    </xf>
    <xf numFmtId="1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2" fillId="10" borderId="0" xfId="0" applyFont="1" applyFill="1" applyAlignment="1">
      <alignment/>
    </xf>
    <xf numFmtId="9" fontId="2" fillId="10" borderId="0" xfId="21" applyFont="1" applyFill="1" applyAlignment="1">
      <alignment/>
    </xf>
    <xf numFmtId="2" fontId="0" fillId="10" borderId="0" xfId="0" applyNumberFormat="1" applyFill="1" applyAlignment="1">
      <alignment/>
    </xf>
    <xf numFmtId="0" fontId="0" fillId="10" borderId="0" xfId="0" applyFill="1" applyAlignment="1">
      <alignment/>
    </xf>
    <xf numFmtId="6" fontId="2" fillId="10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171" fontId="1" fillId="11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iconductorCostModelv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Drivers"/>
      <sheetName val="Input Data"/>
      <sheetName val="Process Data"/>
      <sheetName val="Expense Cost Calculation"/>
      <sheetName val="Total Cost"/>
      <sheetName val="Number of tools"/>
      <sheetName val="Personnel Requirement"/>
      <sheetName val="Phased Capacity"/>
      <sheetName val="Process Steps"/>
    </sheetNames>
    <sheetDataSet>
      <sheetData sheetId="0">
        <row r="18">
          <cell r="D18">
            <v>0.01157462024147591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45"/>
  <sheetViews>
    <sheetView tabSelected="1" zoomScale="75" zoomScaleNormal="75" workbookViewId="0" topLeftCell="A1">
      <selection activeCell="D11" sqref="D11"/>
    </sheetView>
  </sheetViews>
  <sheetFormatPr defaultColWidth="9.140625" defaultRowHeight="12.75" outlineLevelRow="1"/>
  <cols>
    <col min="1" max="1" width="8.421875" style="0" customWidth="1"/>
    <col min="2" max="2" width="30.8515625" style="0" customWidth="1"/>
    <col min="3" max="3" width="21.7109375" style="0" customWidth="1"/>
    <col min="4" max="4" width="22.28125" style="0" customWidth="1"/>
    <col min="5" max="5" width="28.421875" style="0" customWidth="1"/>
    <col min="6" max="6" width="25.28125" style="0" customWidth="1"/>
    <col min="7" max="7" width="11.57421875" style="0" customWidth="1"/>
    <col min="8" max="8" width="20.00390625" style="0" customWidth="1"/>
    <col min="9" max="9" width="16.00390625" style="0" customWidth="1"/>
    <col min="10" max="10" width="14.7109375" style="0" customWidth="1"/>
  </cols>
  <sheetData>
    <row r="1" spans="2:5" ht="12.75">
      <c r="B1" s="15"/>
      <c r="C1" s="15"/>
      <c r="D1" s="15"/>
      <c r="E1" s="15"/>
    </row>
    <row r="2" spans="2:5" ht="12.75">
      <c r="B2" s="81"/>
      <c r="C2" s="5" t="s">
        <v>88</v>
      </c>
      <c r="D2" s="15"/>
      <c r="E2" s="15"/>
    </row>
    <row r="3" spans="2:5" ht="12.75">
      <c r="B3" s="70"/>
      <c r="C3" s="5" t="s">
        <v>161</v>
      </c>
      <c r="D3" s="15"/>
      <c r="E3" s="15"/>
    </row>
    <row r="4" spans="2:5" ht="12.75">
      <c r="B4" s="77"/>
      <c r="C4" s="5" t="s">
        <v>162</v>
      </c>
      <c r="D4" s="15"/>
      <c r="E4" s="15"/>
    </row>
    <row r="5" spans="2:5" ht="12.75">
      <c r="B5" s="15"/>
      <c r="C5" s="15"/>
      <c r="D5" s="15"/>
      <c r="E5" s="15"/>
    </row>
    <row r="6" spans="2:6" ht="12.75">
      <c r="B6" s="18" t="s">
        <v>19</v>
      </c>
      <c r="C6" s="18"/>
      <c r="D6" s="18" t="s">
        <v>27</v>
      </c>
      <c r="E6" s="18" t="s">
        <v>1</v>
      </c>
      <c r="F6" s="18" t="s">
        <v>94</v>
      </c>
    </row>
    <row r="7" spans="2:5" ht="22.5" outlineLevel="1">
      <c r="B7" s="4" t="s">
        <v>25</v>
      </c>
      <c r="C7" s="78">
        <v>0</v>
      </c>
      <c r="D7" s="16"/>
      <c r="E7" s="53" t="s">
        <v>90</v>
      </c>
    </row>
    <row r="8" spans="2:5" ht="12.75">
      <c r="B8" s="6"/>
      <c r="C8" s="10"/>
      <c r="D8" s="17"/>
      <c r="E8" s="53"/>
    </row>
    <row r="9" spans="2:7" ht="33.75">
      <c r="B9" s="4" t="s">
        <v>91</v>
      </c>
      <c r="C9" s="84">
        <f>IF(C7=0,('Wafer Thinning'!K4+Dicing!K4+DUMMY3!K4+'Traditional Assem'!K4+'Flip Chip Assem'!K4+DUMMY1!K4+'Tag Test'!K4+DUMMY2!K4+('Costs &amp; Inputs'!C39+'Costs &amp; Inputs'!D39)/Inputs!F9)+('Wafer Thinning'!K4+Dicing!K4+DUMMY3!K4+'Traditional Assem'!K4+'Flip Chip Assem'!K4+DUMMY1!K4+'Tag Test'!K4+DUMMY2!K4+('Costs &amp; Inputs'!C39+'Costs &amp; Inputs'!D39)/Inputs!F9)*Inputs!C14,0)</f>
        <v>0.03465048711417409</v>
      </c>
      <c r="D9" s="15" t="s">
        <v>85</v>
      </c>
      <c r="E9" s="53" t="s">
        <v>93</v>
      </c>
      <c r="F9" s="76">
        <f>IF(C7=0,'Costs &amp; Inputs'!M22,0)</f>
        <v>113040</v>
      </c>
      <c r="G9">
        <f>60*365*F9/'Costs &amp; Inputs'!M23</f>
        <v>21900</v>
      </c>
    </row>
    <row r="10" spans="2:6" ht="33.75" hidden="1" outlineLevel="1">
      <c r="B10" s="4" t="s">
        <v>92</v>
      </c>
      <c r="C10" s="74">
        <f>IF(C7=1,('Wafer Thinning'!K4+Dicing!K4+DUMMY3!K4+'Traditional Assem'!K4+'Flip Chip Assem'!K4+DUMMY1!K4+'Tag Test'!K4+DUMMY2!K4+('Costs &amp; Inputs'!C39+'Costs &amp; Inputs'!D39)/Inputs!F10)+('Wafer Thinning'!K4+Dicing!K4+DUMMY3!K4+'Traditional Assem'!K4+'Flip Chip Assem'!K4+DUMMY1!K4+'Tag Test'!K4+DUMMY2!K4+('Costs &amp; Inputs'!C39+'Costs &amp; Inputs'!D39)/Inputs!F10)*Inputs!C14,0)</f>
        <v>0</v>
      </c>
      <c r="D10" s="15" t="s">
        <v>85</v>
      </c>
      <c r="E10" s="53" t="s">
        <v>148</v>
      </c>
      <c r="F10" s="76">
        <f>IF(C7=1,'Costs &amp; Inputs'!M22,0)</f>
        <v>0</v>
      </c>
    </row>
    <row r="11" spans="2:5" ht="12.75" collapsed="1">
      <c r="B11" s="39" t="s">
        <v>153</v>
      </c>
      <c r="C11" s="75">
        <f>'Costs &amp; Inputs'!M24</f>
        <v>660153600</v>
      </c>
      <c r="D11" s="15" t="s">
        <v>158</v>
      </c>
      <c r="E11" s="53"/>
    </row>
    <row r="12" spans="2:4" ht="12.75">
      <c r="B12" s="5"/>
      <c r="D12" s="15"/>
    </row>
    <row r="13" spans="2:4" ht="12.75">
      <c r="B13" s="4" t="s">
        <v>18</v>
      </c>
      <c r="D13" s="15"/>
    </row>
    <row r="14" spans="2:4" ht="12.75">
      <c r="B14" s="4" t="s">
        <v>17</v>
      </c>
      <c r="C14" s="79">
        <v>0.1</v>
      </c>
      <c r="D14" s="55" t="s">
        <v>28</v>
      </c>
    </row>
    <row r="15" spans="2:4" ht="12.75">
      <c r="B15" s="4" t="s">
        <v>50</v>
      </c>
      <c r="C15" s="78">
        <v>365</v>
      </c>
      <c r="D15" s="15" t="s">
        <v>51</v>
      </c>
    </row>
    <row r="16" spans="2:4" ht="12.75">
      <c r="B16" s="4"/>
      <c r="C16" s="80"/>
      <c r="D16" s="17"/>
    </row>
    <row r="17" spans="2:4" ht="12.75">
      <c r="B17" s="4" t="s">
        <v>138</v>
      </c>
      <c r="C17" s="81">
        <v>5</v>
      </c>
      <c r="D17" s="17"/>
    </row>
    <row r="18" spans="2:5" ht="12.75">
      <c r="B18" s="4" t="s">
        <v>147</v>
      </c>
      <c r="C18" s="81">
        <v>0.1</v>
      </c>
      <c r="D18" s="17"/>
      <c r="E18" t="s">
        <v>164</v>
      </c>
    </row>
    <row r="19" spans="2:5" ht="12.75">
      <c r="B19" s="4" t="s">
        <v>149</v>
      </c>
      <c r="C19" s="81">
        <v>1</v>
      </c>
      <c r="D19" s="17"/>
      <c r="E19" t="s">
        <v>165</v>
      </c>
    </row>
    <row r="20" spans="2:5" ht="12.75">
      <c r="B20" s="4"/>
      <c r="D20" s="17"/>
      <c r="E20" t="s">
        <v>159</v>
      </c>
    </row>
    <row r="21" spans="2:4" ht="12.75">
      <c r="B21" s="4" t="s">
        <v>160</v>
      </c>
      <c r="C21" s="84">
        <f>C9+C10+'[1]Input Drivers'!$D$18</f>
        <v>0.04622510735565</v>
      </c>
      <c r="D21" s="17"/>
    </row>
    <row r="22" ht="12.75">
      <c r="B22" s="12"/>
    </row>
    <row r="23" spans="2:6" ht="12.75">
      <c r="B23" s="18" t="s">
        <v>129</v>
      </c>
      <c r="C23" s="2"/>
      <c r="D23" s="2"/>
      <c r="E23" s="2"/>
      <c r="F23" s="2"/>
    </row>
    <row r="24" spans="2:5" ht="12.75">
      <c r="B24" s="56" t="s">
        <v>127</v>
      </c>
      <c r="C24" s="56"/>
      <c r="D24" s="56"/>
      <c r="E24" s="56"/>
    </row>
    <row r="25" spans="2:5" ht="12.75">
      <c r="B25" s="56" t="s">
        <v>130</v>
      </c>
      <c r="C25" s="56"/>
      <c r="D25" s="56"/>
      <c r="E25" s="56"/>
    </row>
    <row r="26" spans="2:5" ht="12.75">
      <c r="B26" s="56" t="s">
        <v>126</v>
      </c>
      <c r="C26" s="56"/>
      <c r="D26" s="56"/>
      <c r="E26" s="56"/>
    </row>
    <row r="27" spans="2:5" ht="12.75">
      <c r="B27" s="56" t="s">
        <v>122</v>
      </c>
      <c r="C27" s="56"/>
      <c r="D27" s="56"/>
      <c r="E27" s="56"/>
    </row>
    <row r="28" spans="2:5" ht="12.75">
      <c r="B28" s="56" t="s">
        <v>123</v>
      </c>
      <c r="C28" s="56"/>
      <c r="D28" s="56"/>
      <c r="E28" s="56"/>
    </row>
    <row r="29" spans="2:5" ht="12.75">
      <c r="B29" s="56" t="s">
        <v>124</v>
      </c>
      <c r="C29" s="56"/>
      <c r="D29" s="56"/>
      <c r="E29" s="56"/>
    </row>
    <row r="30" spans="2:5" ht="12.75">
      <c r="B30" s="56" t="s">
        <v>125</v>
      </c>
      <c r="C30" s="56"/>
      <c r="D30" s="56"/>
      <c r="E30" s="56"/>
    </row>
    <row r="31" spans="2:5" ht="12.75">
      <c r="B31" s="56" t="s">
        <v>128</v>
      </c>
      <c r="C31" s="56"/>
      <c r="D31" s="56"/>
      <c r="E31" s="56"/>
    </row>
    <row r="32" spans="2:5" ht="12.75">
      <c r="B32" s="56" t="s">
        <v>133</v>
      </c>
      <c r="C32" s="56"/>
      <c r="D32" s="56"/>
      <c r="E32" s="56"/>
    </row>
    <row r="33" ht="12.75">
      <c r="B33" s="56" t="s">
        <v>135</v>
      </c>
    </row>
    <row r="34" ht="12.75">
      <c r="B34" s="56" t="s">
        <v>163</v>
      </c>
    </row>
    <row r="36" spans="2:6" ht="25.5">
      <c r="B36" s="7" t="s">
        <v>0</v>
      </c>
      <c r="C36" s="2" t="s">
        <v>7</v>
      </c>
      <c r="D36" s="3" t="s">
        <v>96</v>
      </c>
      <c r="E36" s="3" t="s">
        <v>155</v>
      </c>
      <c r="F36" s="3" t="s">
        <v>156</v>
      </c>
    </row>
    <row r="37" spans="2:6" ht="12" customHeight="1">
      <c r="B37" s="7" t="s">
        <v>27</v>
      </c>
      <c r="C37" s="2"/>
      <c r="D37" s="3" t="s">
        <v>157</v>
      </c>
      <c r="E37" s="2"/>
      <c r="F37" s="2"/>
    </row>
    <row r="38" spans="2:6" ht="12.75">
      <c r="B38" s="71" t="s">
        <v>97</v>
      </c>
      <c r="C38" s="72" t="s">
        <v>54</v>
      </c>
      <c r="D38" s="73">
        <v>1</v>
      </c>
      <c r="E38" s="73">
        <v>1</v>
      </c>
      <c r="F38" s="77">
        <f>'Costs &amp; Inputs'!Q5</f>
        <v>1</v>
      </c>
    </row>
    <row r="39" spans="2:6" ht="12.75">
      <c r="B39" s="71" t="s">
        <v>98</v>
      </c>
      <c r="C39" s="72" t="s">
        <v>55</v>
      </c>
      <c r="D39" s="73">
        <v>1</v>
      </c>
      <c r="E39" s="73">
        <v>1</v>
      </c>
      <c r="F39" s="77">
        <f>'Costs &amp; Inputs'!Q6</f>
        <v>1</v>
      </c>
    </row>
    <row r="40" spans="2:6" ht="12.75">
      <c r="B40" s="71" t="s">
        <v>99</v>
      </c>
      <c r="C40" s="72" t="s">
        <v>137</v>
      </c>
      <c r="D40" s="73">
        <v>0</v>
      </c>
      <c r="E40" s="73">
        <v>1</v>
      </c>
      <c r="F40" s="77">
        <f>'Costs &amp; Inputs'!Q7</f>
        <v>0</v>
      </c>
    </row>
    <row r="41" spans="2:6" ht="12.75">
      <c r="B41" s="71" t="s">
        <v>100</v>
      </c>
      <c r="C41" s="72" t="s">
        <v>105</v>
      </c>
      <c r="D41" s="73">
        <v>1</v>
      </c>
      <c r="E41" s="73">
        <v>1</v>
      </c>
      <c r="F41" s="77">
        <f>'Costs &amp; Inputs'!Q8</f>
        <v>31</v>
      </c>
    </row>
    <row r="42" spans="2:6" ht="12.75">
      <c r="B42" s="71" t="s">
        <v>101</v>
      </c>
      <c r="C42" s="72" t="s">
        <v>106</v>
      </c>
      <c r="D42" s="73">
        <v>0</v>
      </c>
      <c r="E42" s="73">
        <v>1</v>
      </c>
      <c r="F42" s="77" t="e">
        <f>'Costs &amp; Inputs'!Q9</f>
        <v>#VALUE!</v>
      </c>
    </row>
    <row r="43" spans="2:6" ht="12.75">
      <c r="B43" s="71" t="s">
        <v>102</v>
      </c>
      <c r="C43" s="72" t="s">
        <v>137</v>
      </c>
      <c r="D43" s="73">
        <v>0</v>
      </c>
      <c r="E43" s="73">
        <v>1</v>
      </c>
      <c r="F43" s="77">
        <f>'Costs &amp; Inputs'!Q10</f>
        <v>0</v>
      </c>
    </row>
    <row r="44" spans="2:6" ht="12.75">
      <c r="B44" s="71" t="s">
        <v>103</v>
      </c>
      <c r="C44" s="72" t="s">
        <v>95</v>
      </c>
      <c r="D44" s="73">
        <v>1</v>
      </c>
      <c r="E44" s="73">
        <v>1</v>
      </c>
      <c r="F44" s="77">
        <f>'Costs &amp; Inputs'!Q11</f>
        <v>16</v>
      </c>
    </row>
    <row r="45" spans="2:6" ht="12.75">
      <c r="B45" s="71" t="s">
        <v>104</v>
      </c>
      <c r="C45" s="72" t="s">
        <v>137</v>
      </c>
      <c r="D45" s="73">
        <v>0</v>
      </c>
      <c r="E45" s="73">
        <v>1</v>
      </c>
      <c r="F45" s="77">
        <f>'Costs &amp; Inputs'!Q12</f>
        <v>0</v>
      </c>
    </row>
  </sheetData>
  <printOptions/>
  <pageMargins left="0.75" right="0.75" top="1" bottom="1" header="0.5" footer="0.5"/>
  <pageSetup horizontalDpi="200" verticalDpi="200" orientation="landscape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K25"/>
  <sheetViews>
    <sheetView workbookViewId="0" topLeftCell="A1">
      <selection activeCell="F41" sqref="F41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5.0039062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Inputs'!C7</f>
        <v>0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 t="e">
        <f>F6+SUM(C11:K11)+SUM(C16:G16)+C21+C25</f>
        <v>#VALUE!</v>
      </c>
      <c r="J4" s="31">
        <f>IF(E2=0,I4/F6,0)</f>
        <v>0</v>
      </c>
      <c r="K4" s="51">
        <f>IF(C1=1,IF(E2=1,I4/E6,0),0)</f>
        <v>0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35</v>
      </c>
      <c r="C6" s="33" t="e">
        <f>ROUNDUP(IF(Inputs!C7=0,'Costs &amp; Inputs'!$M$22/'Costs &amp; Inputs'!H7,'Costs &amp; Inputs'!D7),0)</f>
        <v>#VALUE!</v>
      </c>
      <c r="D6" s="33">
        <f>Dicing!E6</f>
        <v>106359.336</v>
      </c>
      <c r="E6" s="33">
        <f>IF(C1=1,IF(Inputs!C7=0,D6*'Costs &amp; Inputs'!K7,MIN('Costs &amp; Inputs'!F7*'Costs &amp; Inputs'!D7*'Costs &amp; Inputs'!K7,'Costs &amp; Inputs'!K7*DUMMY3!D6)),D6)</f>
        <v>106359.336</v>
      </c>
      <c r="F6" s="23" t="e">
        <f>C6*'Costs &amp; Inputs'!P7/('Costs &amp; Inputs'!I7*Inputs!$C$15)</f>
        <v>#VALUE!</v>
      </c>
    </row>
    <row r="8" spans="2:11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37</v>
      </c>
    </row>
    <row r="10" spans="2:11" ht="12.75">
      <c r="B10" s="5" t="s">
        <v>71</v>
      </c>
      <c r="C10" s="11">
        <f>20</f>
        <v>20</v>
      </c>
      <c r="D10" s="11">
        <v>0</v>
      </c>
      <c r="E10" s="11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9">
        <v>0</v>
      </c>
    </row>
    <row r="11" spans="2:11" ht="12.75">
      <c r="B11" s="5" t="s">
        <v>136</v>
      </c>
      <c r="C11" s="35" t="e">
        <f>C10*'Costs &amp; Inputs'!C18*$C$6</f>
        <v>#VALUE!</v>
      </c>
      <c r="D11" s="35" t="e">
        <f>D10*'Costs &amp; Inputs'!D18*$C$6</f>
        <v>#VALUE!</v>
      </c>
      <c r="E11" s="35" t="e">
        <f>E10*'Costs &amp; Inputs'!E18*$C$6</f>
        <v>#VALUE!</v>
      </c>
      <c r="F11" s="3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35">
        <f>K10*'Costs &amp; Inputs'!L18</f>
        <v>0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0</v>
      </c>
      <c r="D15" s="10">
        <v>0</v>
      </c>
      <c r="E15" s="10">
        <v>0</v>
      </c>
      <c r="F15" s="10">
        <v>0.5</v>
      </c>
      <c r="G15" s="10">
        <v>0</v>
      </c>
      <c r="J15" s="20"/>
    </row>
    <row r="16" spans="2:7" ht="12.75">
      <c r="B16" s="5" t="s">
        <v>136</v>
      </c>
      <c r="C16" s="25" t="e">
        <f>'Costs &amp; Inputs'!C23*C15*$C$6</f>
        <v>#VALUE!</v>
      </c>
      <c r="D16" s="25">
        <f>'Costs &amp; Inputs'!D23*D15</f>
        <v>0</v>
      </c>
      <c r="E16" s="25">
        <f>'Costs &amp; Inputs'!E23*E15</f>
        <v>0</v>
      </c>
      <c r="F16" s="25">
        <f>'Costs &amp; Inputs'!F23*F15</f>
        <v>9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 t="e">
        <f>F6</f>
        <v>#VALUE!</v>
      </c>
    </row>
    <row r="21" spans="2:9" ht="12.75">
      <c r="B21" s="5" t="s">
        <v>136</v>
      </c>
      <c r="C21" s="25" t="e">
        <f>C20*'Costs &amp; Inputs'!C28*$C$6</f>
        <v>#VALUE!</v>
      </c>
      <c r="H21" s="45" t="s">
        <v>68</v>
      </c>
      <c r="I21" s="49" t="e">
        <f>SUM(C16:G16)</f>
        <v>#VALUE!</v>
      </c>
    </row>
    <row r="22" spans="2:9" ht="13.5" thickBot="1">
      <c r="B22" s="5"/>
      <c r="G22" t="s">
        <v>12</v>
      </c>
      <c r="H22" s="46" t="s">
        <v>120</v>
      </c>
      <c r="I22" s="50" t="e">
        <f>SUM(C11:L11)+C21</f>
        <v>#VALUE!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Q39"/>
  <sheetViews>
    <sheetView zoomScale="75" zoomScaleNormal="75" workbookViewId="0" topLeftCell="A1">
      <selection activeCell="M1" sqref="M1"/>
    </sheetView>
  </sheetViews>
  <sheetFormatPr defaultColWidth="9.140625" defaultRowHeight="12.75" outlineLevelCol="1"/>
  <cols>
    <col min="1" max="1" width="1.8515625" style="0" customWidth="1"/>
    <col min="2" max="2" width="11.28125" style="0" customWidth="1"/>
    <col min="3" max="3" width="8.57421875" style="0" hidden="1" customWidth="1" outlineLevel="1"/>
    <col min="4" max="4" width="9.421875" style="0" hidden="1" customWidth="1" outlineLevel="1"/>
    <col min="5" max="5" width="11.8515625" style="0" customWidth="1" collapsed="1"/>
    <col min="6" max="6" width="9.57421875" style="0" customWidth="1"/>
    <col min="7" max="7" width="10.8515625" style="0" hidden="1" customWidth="1" outlineLevel="1"/>
    <col min="8" max="8" width="9.28125" style="0" hidden="1" customWidth="1" outlineLevel="1"/>
    <col min="9" max="9" width="7.140625" style="0" customWidth="1" collapsed="1"/>
    <col min="11" max="11" width="9.00390625" style="0" customWidth="1"/>
    <col min="12" max="12" width="13.421875" style="0" customWidth="1"/>
    <col min="13" max="13" width="12.57421875" style="0" customWidth="1"/>
    <col min="14" max="14" width="10.57421875" style="0" customWidth="1"/>
    <col min="15" max="15" width="15.8515625" style="0" customWidth="1"/>
    <col min="16" max="16" width="12.7109375" style="0" customWidth="1"/>
  </cols>
  <sheetData>
    <row r="2" ht="12.75">
      <c r="B2" s="15" t="s">
        <v>65</v>
      </c>
    </row>
    <row r="3" spans="2:17" ht="38.25">
      <c r="B3" s="7" t="s">
        <v>0</v>
      </c>
      <c r="C3" s="3" t="s">
        <v>96</v>
      </c>
      <c r="D3" s="59" t="s">
        <v>151</v>
      </c>
      <c r="E3" s="2" t="s">
        <v>7</v>
      </c>
      <c r="F3" s="2" t="s">
        <v>80</v>
      </c>
      <c r="G3" s="2" t="s">
        <v>87</v>
      </c>
      <c r="H3" s="2" t="s">
        <v>110</v>
      </c>
      <c r="I3" s="2" t="s">
        <v>11</v>
      </c>
      <c r="J3" s="2" t="s">
        <v>14</v>
      </c>
      <c r="K3" s="2" t="s">
        <v>20</v>
      </c>
      <c r="L3" s="2" t="s">
        <v>39</v>
      </c>
      <c r="M3" s="2" t="s">
        <v>13</v>
      </c>
      <c r="N3" s="3" t="s">
        <v>47</v>
      </c>
      <c r="O3" s="3" t="s">
        <v>24</v>
      </c>
      <c r="P3" s="2" t="s">
        <v>64</v>
      </c>
      <c r="Q3" s="3" t="s">
        <v>152</v>
      </c>
    </row>
    <row r="4" spans="2:17" ht="12.75">
      <c r="B4" s="7" t="s">
        <v>27</v>
      </c>
      <c r="C4" s="3" t="s">
        <v>134</v>
      </c>
      <c r="D4" s="60"/>
      <c r="E4" s="2"/>
      <c r="F4" s="2" t="s">
        <v>37</v>
      </c>
      <c r="G4" s="2" t="s">
        <v>109</v>
      </c>
      <c r="H4" s="2" t="s">
        <v>109</v>
      </c>
      <c r="I4" s="2" t="s">
        <v>52</v>
      </c>
      <c r="J4" s="2" t="s">
        <v>38</v>
      </c>
      <c r="K4" s="2" t="s">
        <v>53</v>
      </c>
      <c r="L4" s="2" t="s">
        <v>62</v>
      </c>
      <c r="M4" s="2" t="s">
        <v>61</v>
      </c>
      <c r="N4" s="2" t="s">
        <v>42</v>
      </c>
      <c r="O4" s="3" t="s">
        <v>43</v>
      </c>
      <c r="P4" s="2" t="s">
        <v>43</v>
      </c>
      <c r="Q4" s="2"/>
    </row>
    <row r="5" spans="2:17" ht="25.5">
      <c r="B5" s="1" t="s">
        <v>97</v>
      </c>
      <c r="C5" s="83">
        <f>Inputs!D38</f>
        <v>1</v>
      </c>
      <c r="D5" s="60">
        <f>Inputs!E38</f>
        <v>1</v>
      </c>
      <c r="E5" s="1" t="s">
        <v>54</v>
      </c>
      <c r="F5" s="78">
        <v>10</v>
      </c>
      <c r="G5">
        <f>F5*D5*$M$23</f>
        <v>1130400</v>
      </c>
      <c r="H5" s="40">
        <f>(IF(C5=0,"NA",IF(Inputs!$C$7=0,F5*$M$23,G5)))</f>
        <v>1130400</v>
      </c>
      <c r="I5" s="78">
        <v>16</v>
      </c>
      <c r="J5" s="78">
        <f>Inputs!$C$17</f>
        <v>5</v>
      </c>
      <c r="K5" s="79">
        <v>0.97</v>
      </c>
      <c r="L5" s="78">
        <v>20</v>
      </c>
      <c r="M5" s="78">
        <v>100</v>
      </c>
      <c r="N5" s="82">
        <v>425000</v>
      </c>
      <c r="O5" s="82">
        <v>5000</v>
      </c>
      <c r="P5" s="22">
        <f aca="true" t="shared" si="0" ref="P5:P12">N5/J5+O5+M5*$E$28+($F$28*M5*$E$28)+L5*I5*$D$28+$C$33*(N5/J5+O5+M5*$E$28+($F$28*M5*$E$28)+L5*I5*$D$28)</f>
        <v>101923.36</v>
      </c>
      <c r="Q5">
        <f>'Wafer Thinning'!$C$6</f>
        <v>1</v>
      </c>
    </row>
    <row r="6" spans="2:17" ht="25.5">
      <c r="B6" s="1" t="s">
        <v>98</v>
      </c>
      <c r="C6" s="83">
        <f>Inputs!D39</f>
        <v>1</v>
      </c>
      <c r="D6" s="60">
        <f>Inputs!E39</f>
        <v>1</v>
      </c>
      <c r="E6" s="1" t="s">
        <v>55</v>
      </c>
      <c r="F6" s="17">
        <f>ROUNDUP(((1/350)*60*60)/2,0)</f>
        <v>6</v>
      </c>
      <c r="G6">
        <f>F6*D6*$M$23</f>
        <v>678240</v>
      </c>
      <c r="H6" s="40">
        <f>(IF(C6=0,"NA",IF(Inputs!$C$7=0,F6*$M$23,G6)))</f>
        <v>678240</v>
      </c>
      <c r="I6" s="78">
        <v>16</v>
      </c>
      <c r="J6" s="78">
        <f>Inputs!$C$17</f>
        <v>5</v>
      </c>
      <c r="K6" s="79">
        <v>0.97</v>
      </c>
      <c r="L6" s="78">
        <v>20</v>
      </c>
      <c r="M6" s="78">
        <v>21</v>
      </c>
      <c r="N6" s="82">
        <v>300000</v>
      </c>
      <c r="O6" s="82">
        <v>5000</v>
      </c>
      <c r="P6" s="22">
        <f t="shared" si="0"/>
        <v>72163.96</v>
      </c>
      <c r="Q6">
        <f>Dicing!$C$6</f>
        <v>1</v>
      </c>
    </row>
    <row r="7" spans="2:17" ht="25.5">
      <c r="B7" s="59" t="s">
        <v>99</v>
      </c>
      <c r="C7" s="60">
        <f>Inputs!D40</f>
        <v>0</v>
      </c>
      <c r="D7" s="60">
        <f>Inputs!E40</f>
        <v>1</v>
      </c>
      <c r="E7" s="59" t="s">
        <v>137</v>
      </c>
      <c r="F7" s="60">
        <v>7200</v>
      </c>
      <c r="G7" s="61">
        <f aca="true" t="shared" si="1" ref="G7:G12">D7*F7</f>
        <v>7200</v>
      </c>
      <c r="H7" s="62" t="str">
        <f>(IF(C7=0,"NA",IF(Inputs!$C$7=0,F7,G7)))</f>
        <v>NA</v>
      </c>
      <c r="I7" s="60">
        <v>16</v>
      </c>
      <c r="J7" s="60">
        <f>Inputs!$C$17</f>
        <v>5</v>
      </c>
      <c r="K7" s="63">
        <v>0.97</v>
      </c>
      <c r="L7" s="60">
        <v>20</v>
      </c>
      <c r="M7" s="60">
        <v>55</v>
      </c>
      <c r="N7" s="64">
        <v>140000</v>
      </c>
      <c r="O7" s="64">
        <v>5000</v>
      </c>
      <c r="P7" s="65">
        <f t="shared" si="0"/>
        <v>37936.36</v>
      </c>
      <c r="Q7" s="65"/>
    </row>
    <row r="8" spans="2:17" ht="25.5">
      <c r="B8" s="1" t="s">
        <v>100</v>
      </c>
      <c r="C8" s="83">
        <f>Inputs!D41</f>
        <v>1</v>
      </c>
      <c r="D8" s="60">
        <f>Inputs!E41</f>
        <v>1</v>
      </c>
      <c r="E8" s="1" t="s">
        <v>105</v>
      </c>
      <c r="F8" s="78">
        <v>3750</v>
      </c>
      <c r="G8" s="33">
        <f t="shared" si="1"/>
        <v>3750</v>
      </c>
      <c r="H8" s="40">
        <f>(IF(C8=0,"NA",IF(Inputs!$C$7=0,F8,G8)))</f>
        <v>3750</v>
      </c>
      <c r="I8" s="78">
        <v>16</v>
      </c>
      <c r="J8" s="78">
        <f>Inputs!$C$17</f>
        <v>5</v>
      </c>
      <c r="K8" s="79">
        <v>0.97</v>
      </c>
      <c r="L8" s="78">
        <v>20</v>
      </c>
      <c r="M8" s="78">
        <v>200</v>
      </c>
      <c r="N8" s="82">
        <v>935000</v>
      </c>
      <c r="O8" s="82">
        <v>5000</v>
      </c>
      <c r="P8" s="22">
        <f t="shared" si="0"/>
        <v>216983.36000000002</v>
      </c>
      <c r="Q8" s="33">
        <f>'Traditional Assem'!C6</f>
        <v>31</v>
      </c>
    </row>
    <row r="9" spans="2:17" ht="25.5">
      <c r="B9" s="1" t="s">
        <v>101</v>
      </c>
      <c r="C9" s="83">
        <f>Inputs!D42</f>
        <v>0</v>
      </c>
      <c r="D9" s="60">
        <f>Inputs!E42</f>
        <v>1</v>
      </c>
      <c r="E9" s="1" t="s">
        <v>106</v>
      </c>
      <c r="F9" s="78">
        <v>10000</v>
      </c>
      <c r="G9" s="33">
        <f t="shared" si="1"/>
        <v>10000</v>
      </c>
      <c r="H9" s="40" t="str">
        <f>(IF(C9=0,"NA",IF(Inputs!$C$7=0,F9,G9)))</f>
        <v>NA</v>
      </c>
      <c r="I9" s="78">
        <v>16</v>
      </c>
      <c r="J9" s="78">
        <f>Inputs!$C$17</f>
        <v>5</v>
      </c>
      <c r="K9" s="79">
        <v>0.98</v>
      </c>
      <c r="L9" s="78">
        <v>20</v>
      </c>
      <c r="M9" s="78">
        <v>150</v>
      </c>
      <c r="N9" s="82">
        <v>1200000</v>
      </c>
      <c r="O9" s="82">
        <v>5000</v>
      </c>
      <c r="P9" s="22">
        <f t="shared" si="0"/>
        <v>273853.36</v>
      </c>
      <c r="Q9" s="33" t="e">
        <f>'Flip Chip Assem'!C6</f>
        <v>#VALUE!</v>
      </c>
    </row>
    <row r="10" spans="2:17" ht="25.5">
      <c r="B10" s="59" t="s">
        <v>102</v>
      </c>
      <c r="C10" s="60">
        <f>Inputs!D43</f>
        <v>0</v>
      </c>
      <c r="D10" s="60">
        <f>Inputs!E43</f>
        <v>1</v>
      </c>
      <c r="E10" s="59" t="s">
        <v>137</v>
      </c>
      <c r="F10" s="60">
        <v>5000</v>
      </c>
      <c r="G10" s="61">
        <f t="shared" si="1"/>
        <v>5000</v>
      </c>
      <c r="H10" s="62" t="str">
        <f>(IF(C10=0,"NA",IF(Inputs!$C$7=0,F10,G10)))</f>
        <v>NA</v>
      </c>
      <c r="I10" s="60">
        <v>16</v>
      </c>
      <c r="J10" s="60">
        <f>Inputs!$C$17</f>
        <v>5</v>
      </c>
      <c r="K10" s="63">
        <v>0.97</v>
      </c>
      <c r="L10" s="60">
        <v>20</v>
      </c>
      <c r="M10" s="60">
        <v>200</v>
      </c>
      <c r="N10" s="64">
        <v>935000</v>
      </c>
      <c r="O10" s="64">
        <v>5000</v>
      </c>
      <c r="P10" s="65">
        <f t="shared" si="0"/>
        <v>216983.36000000002</v>
      </c>
      <c r="Q10" s="65"/>
    </row>
    <row r="11" spans="2:17" ht="25.5">
      <c r="B11" s="1" t="s">
        <v>103</v>
      </c>
      <c r="C11" s="83">
        <f>Inputs!D44</f>
        <v>1</v>
      </c>
      <c r="D11" s="60">
        <f>Inputs!E44</f>
        <v>1</v>
      </c>
      <c r="E11" s="1" t="s">
        <v>95</v>
      </c>
      <c r="F11" s="78">
        <v>7200</v>
      </c>
      <c r="G11" s="33">
        <f t="shared" si="1"/>
        <v>7200</v>
      </c>
      <c r="H11" s="40">
        <f>(IF(C11=0,"NA",IF(Inputs!$C$7=0,F11,G11)))</f>
        <v>7200</v>
      </c>
      <c r="I11" s="78">
        <v>16</v>
      </c>
      <c r="J11" s="78">
        <f>Inputs!$C$17</f>
        <v>5</v>
      </c>
      <c r="K11" s="79">
        <v>0.97</v>
      </c>
      <c r="L11" s="78">
        <v>20</v>
      </c>
      <c r="M11" s="78">
        <v>55</v>
      </c>
      <c r="N11" s="82">
        <v>140000</v>
      </c>
      <c r="O11" s="82">
        <v>5000</v>
      </c>
      <c r="P11" s="22">
        <f t="shared" si="0"/>
        <v>37936.36</v>
      </c>
      <c r="Q11" s="33">
        <f>'Tag Test'!C6</f>
        <v>16</v>
      </c>
    </row>
    <row r="12" spans="2:17" ht="25.5">
      <c r="B12" s="59" t="s">
        <v>104</v>
      </c>
      <c r="C12" s="60">
        <f>Inputs!D45</f>
        <v>0</v>
      </c>
      <c r="D12" s="60">
        <f>Inputs!E45</f>
        <v>1</v>
      </c>
      <c r="E12" s="59" t="s">
        <v>137</v>
      </c>
      <c r="F12" s="60">
        <v>5000</v>
      </c>
      <c r="G12" s="61">
        <f t="shared" si="1"/>
        <v>5000</v>
      </c>
      <c r="H12" s="62" t="str">
        <f>(IF(C12=0,"NA",IF(Inputs!$C$7=0,F12,G12)))</f>
        <v>NA</v>
      </c>
      <c r="I12" s="60">
        <v>16</v>
      </c>
      <c r="J12" s="60">
        <f>Inputs!$C$17</f>
        <v>5</v>
      </c>
      <c r="K12" s="63">
        <v>0.97</v>
      </c>
      <c r="L12" s="60">
        <v>20</v>
      </c>
      <c r="M12" s="60">
        <v>10000</v>
      </c>
      <c r="N12" s="64">
        <v>1000000</v>
      </c>
      <c r="O12" s="64">
        <v>2000</v>
      </c>
      <c r="P12" s="65">
        <f t="shared" si="0"/>
        <v>508263.36</v>
      </c>
      <c r="Q12" s="65"/>
    </row>
    <row r="13" spans="2:5" ht="12.75">
      <c r="B13" s="1" t="s">
        <v>26</v>
      </c>
      <c r="E13" s="1"/>
    </row>
    <row r="14" spans="2:5" ht="12.75">
      <c r="B14" s="1"/>
      <c r="E14" s="1"/>
    </row>
    <row r="15" spans="2:5" ht="12.75">
      <c r="B15" s="54" t="s">
        <v>66</v>
      </c>
      <c r="E15" s="1"/>
    </row>
    <row r="16" spans="2:15" ht="90">
      <c r="B16" s="7" t="s">
        <v>2</v>
      </c>
      <c r="C16" s="3" t="s">
        <v>8</v>
      </c>
      <c r="D16" s="3" t="s">
        <v>9</v>
      </c>
      <c r="E16" s="3" t="s">
        <v>10</v>
      </c>
      <c r="F16" s="13" t="s">
        <v>21</v>
      </c>
      <c r="G16" s="13" t="s">
        <v>22</v>
      </c>
      <c r="H16" s="13" t="s">
        <v>23</v>
      </c>
      <c r="I16" s="13" t="s">
        <v>139</v>
      </c>
      <c r="J16" s="13" t="s">
        <v>140</v>
      </c>
      <c r="K16" s="13" t="s">
        <v>45</v>
      </c>
      <c r="L16" s="13" t="s">
        <v>107</v>
      </c>
      <c r="M16" s="13" t="s">
        <v>144</v>
      </c>
      <c r="N16" s="13" t="s">
        <v>145</v>
      </c>
      <c r="O16" s="13" t="s">
        <v>150</v>
      </c>
    </row>
    <row r="17" spans="2:15" ht="15">
      <c r="B17" s="7" t="s">
        <v>27</v>
      </c>
      <c r="C17" s="3" t="s">
        <v>56</v>
      </c>
      <c r="D17" s="3" t="s">
        <v>56</v>
      </c>
      <c r="E17" s="3" t="s">
        <v>56</v>
      </c>
      <c r="F17" s="13" t="s">
        <v>115</v>
      </c>
      <c r="G17" s="13" t="s">
        <v>115</v>
      </c>
      <c r="H17" s="13" t="s">
        <v>115</v>
      </c>
      <c r="I17" s="13" t="s">
        <v>115</v>
      </c>
      <c r="J17" s="13" t="s">
        <v>46</v>
      </c>
      <c r="K17" s="13" t="s">
        <v>46</v>
      </c>
      <c r="L17" s="13" t="s">
        <v>46</v>
      </c>
      <c r="M17" s="13" t="s">
        <v>46</v>
      </c>
      <c r="N17" s="13" t="s">
        <v>46</v>
      </c>
      <c r="O17" s="13" t="s">
        <v>84</v>
      </c>
    </row>
    <row r="18" spans="2:15" ht="12.75">
      <c r="B18" s="8"/>
      <c r="C18" s="9">
        <v>0.003</v>
      </c>
      <c r="D18" s="9">
        <f>258/(2579*28.31)</f>
        <v>0.0035336903821576583</v>
      </c>
      <c r="E18" s="9">
        <v>0.03</v>
      </c>
      <c r="F18" s="9">
        <v>0.64</v>
      </c>
      <c r="G18" s="9">
        <v>2.88</v>
      </c>
      <c r="H18" s="9">
        <f>286*12</f>
        <v>3432</v>
      </c>
      <c r="I18" s="9">
        <v>3</v>
      </c>
      <c r="J18" s="9">
        <v>0.0035</v>
      </c>
      <c r="K18" s="9">
        <v>0</v>
      </c>
      <c r="L18" s="9">
        <v>0.01</v>
      </c>
      <c r="M18" s="9">
        <v>270</v>
      </c>
      <c r="N18" s="9">
        <v>600</v>
      </c>
      <c r="O18" s="9">
        <v>85</v>
      </c>
    </row>
    <row r="19" spans="2:3" ht="12.75">
      <c r="B19" s="8"/>
      <c r="C19" s="1"/>
    </row>
    <row r="20" spans="2:3" ht="12.75">
      <c r="B20" s="54" t="s">
        <v>68</v>
      </c>
      <c r="C20" s="1"/>
    </row>
    <row r="21" spans="2:8" ht="26.25" customHeight="1" thickBot="1">
      <c r="B21" s="7" t="s">
        <v>3</v>
      </c>
      <c r="C21" s="3" t="s">
        <v>29</v>
      </c>
      <c r="D21" s="3" t="s">
        <v>30</v>
      </c>
      <c r="E21" s="2" t="s">
        <v>31</v>
      </c>
      <c r="F21" s="2" t="s">
        <v>32</v>
      </c>
      <c r="G21" s="2" t="s">
        <v>33</v>
      </c>
      <c r="H21" s="2" t="s">
        <v>116</v>
      </c>
    </row>
    <row r="22" spans="2:14" ht="26.25" customHeight="1" thickBot="1">
      <c r="B22" s="7" t="s">
        <v>27</v>
      </c>
      <c r="C22" s="3" t="s">
        <v>44</v>
      </c>
      <c r="D22" s="3" t="s">
        <v>44</v>
      </c>
      <c r="E22" s="3" t="s">
        <v>44</v>
      </c>
      <c r="F22" s="3" t="s">
        <v>44</v>
      </c>
      <c r="G22" s="3" t="s">
        <v>44</v>
      </c>
      <c r="H22" s="3" t="s">
        <v>44</v>
      </c>
      <c r="L22" s="21" t="s">
        <v>132</v>
      </c>
      <c r="M22" s="34">
        <f>IF(Inputs!C7=0,Inputs!C18*MAX(H5,H6,H7,H8,H9,H10,H11,H12),MIN(H5,H6,H7,H8,H9,H10,H11,H12))</f>
        <v>113040</v>
      </c>
      <c r="N22" s="15"/>
    </row>
    <row r="23" spans="2:13" ht="25.5">
      <c r="B23" s="8"/>
      <c r="C23" s="9">
        <v>15</v>
      </c>
      <c r="D23" s="9">
        <v>22</v>
      </c>
      <c r="E23" s="9">
        <v>62.5</v>
      </c>
      <c r="F23" s="9">
        <v>18</v>
      </c>
      <c r="G23" s="9">
        <v>20.8</v>
      </c>
      <c r="H23" s="9">
        <v>78</v>
      </c>
      <c r="L23" s="66" t="s">
        <v>86</v>
      </c>
      <c r="M23" s="67">
        <f>(3.14*($D$33/2)^2)/($E$33*$F$33)*(1-$G$33)</f>
        <v>113040</v>
      </c>
    </row>
    <row r="24" spans="2:13" ht="12.75">
      <c r="B24" s="8"/>
      <c r="C24" s="9"/>
      <c r="D24" s="9"/>
      <c r="E24" s="9"/>
      <c r="F24" s="9"/>
      <c r="G24" s="9"/>
      <c r="L24" s="68" t="s">
        <v>154</v>
      </c>
      <c r="M24" s="69">
        <f>M22*I5*365</f>
        <v>660153600</v>
      </c>
    </row>
    <row r="25" spans="2:3" ht="12.75">
      <c r="B25" s="54" t="s">
        <v>67</v>
      </c>
      <c r="C25" s="1"/>
    </row>
    <row r="26" spans="2:6" ht="25.5">
      <c r="B26" s="7" t="s">
        <v>4</v>
      </c>
      <c r="C26" s="3" t="s">
        <v>34</v>
      </c>
      <c r="D26" s="2" t="s">
        <v>15</v>
      </c>
      <c r="E26" s="2" t="s">
        <v>60</v>
      </c>
      <c r="F26" s="3" t="s">
        <v>74</v>
      </c>
    </row>
    <row r="27" spans="2:6" ht="12.75">
      <c r="B27" s="7" t="s">
        <v>27</v>
      </c>
      <c r="C27" s="3" t="s">
        <v>56</v>
      </c>
      <c r="D27" s="2" t="s">
        <v>48</v>
      </c>
      <c r="E27" s="2" t="s">
        <v>63</v>
      </c>
      <c r="F27" s="2" t="s">
        <v>53</v>
      </c>
    </row>
    <row r="28" spans="2:6" ht="12.75">
      <c r="B28" s="8"/>
      <c r="C28" s="9">
        <v>0.01</v>
      </c>
      <c r="D28" s="41">
        <v>0.18</v>
      </c>
      <c r="E28" s="10">
        <v>20</v>
      </c>
      <c r="F28" s="14">
        <v>0.3</v>
      </c>
    </row>
    <row r="29" spans="2:3" ht="12.75">
      <c r="B29" s="8"/>
      <c r="C29" s="1"/>
    </row>
    <row r="30" ht="12.75">
      <c r="B30" s="53" t="s">
        <v>5</v>
      </c>
    </row>
    <row r="31" spans="2:8" ht="38.25">
      <c r="B31" s="7" t="s">
        <v>5</v>
      </c>
      <c r="C31" s="3" t="s">
        <v>81</v>
      </c>
      <c r="D31" s="3" t="s">
        <v>75</v>
      </c>
      <c r="E31" s="3" t="s">
        <v>76</v>
      </c>
      <c r="F31" s="3" t="s">
        <v>77</v>
      </c>
      <c r="G31" s="3" t="s">
        <v>78</v>
      </c>
      <c r="H31" s="38"/>
    </row>
    <row r="32" spans="2:8" ht="12.75">
      <c r="B32" s="7" t="s">
        <v>27</v>
      </c>
      <c r="C32" s="3" t="s">
        <v>53</v>
      </c>
      <c r="D32" s="3" t="s">
        <v>79</v>
      </c>
      <c r="E32" s="3" t="s">
        <v>79</v>
      </c>
      <c r="F32" s="3" t="s">
        <v>79</v>
      </c>
      <c r="G32" s="3" t="s">
        <v>53</v>
      </c>
      <c r="H32" s="38"/>
    </row>
    <row r="33" spans="2:8" ht="12.75">
      <c r="B33" s="1"/>
      <c r="C33" s="14">
        <v>0.1</v>
      </c>
      <c r="D33" s="10">
        <v>200</v>
      </c>
      <c r="E33" s="10">
        <v>0.5</v>
      </c>
      <c r="F33" s="10">
        <v>0.5</v>
      </c>
      <c r="G33" s="14">
        <v>0.1</v>
      </c>
      <c r="H33" s="11"/>
    </row>
    <row r="34" spans="2:8" ht="12.75">
      <c r="B34" s="1"/>
      <c r="C34" s="14"/>
      <c r="D34" s="10"/>
      <c r="E34" s="10"/>
      <c r="F34" s="10"/>
      <c r="G34" s="14"/>
      <c r="H34" s="11"/>
    </row>
    <row r="35" ht="12.75">
      <c r="B35" s="15" t="s">
        <v>131</v>
      </c>
    </row>
    <row r="36" spans="2:9" ht="12.75">
      <c r="B36" s="4" t="s">
        <v>3</v>
      </c>
      <c r="C36" s="2" t="s">
        <v>116</v>
      </c>
      <c r="D36" s="2" t="s">
        <v>33</v>
      </c>
      <c r="E36" s="43"/>
      <c r="I36" s="43"/>
    </row>
    <row r="37" spans="2:5" ht="25.5">
      <c r="B37" s="7" t="s">
        <v>57</v>
      </c>
      <c r="C37" s="3" t="s">
        <v>58</v>
      </c>
      <c r="D37" s="3" t="s">
        <v>58</v>
      </c>
      <c r="E37" s="20"/>
    </row>
    <row r="38" spans="2:5" ht="12.75">
      <c r="B38" s="5" t="s">
        <v>71</v>
      </c>
      <c r="C38" s="36">
        <v>0</v>
      </c>
      <c r="D38" s="42">
        <v>0</v>
      </c>
      <c r="E38" s="20"/>
    </row>
    <row r="39" spans="2:5" ht="12.75">
      <c r="B39" s="5" t="s">
        <v>16</v>
      </c>
      <c r="C39" s="25">
        <f>C38*H23</f>
        <v>0</v>
      </c>
      <c r="D39" s="25">
        <f>G23*D38</f>
        <v>0</v>
      </c>
      <c r="E39" s="44"/>
    </row>
  </sheetData>
  <printOptions/>
  <pageMargins left="0.75" right="0.75" top="1" bottom="1" header="0.5" footer="0.5"/>
  <pageSetup horizontalDpi="200" verticalDpi="2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O25"/>
  <sheetViews>
    <sheetView workbookViewId="0" topLeftCell="A1">
      <selection activeCell="E1" sqref="E1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5.14062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4.8515625" style="0" customWidth="1"/>
    <col min="14" max="14" width="11.140625" style="0" customWidth="1"/>
  </cols>
  <sheetData>
    <row r="1" spans="2:3" ht="13.5" thickBot="1">
      <c r="B1" s="39" t="s">
        <v>108</v>
      </c>
      <c r="C1">
        <f>'Costs &amp; Inputs'!C5</f>
        <v>1</v>
      </c>
    </row>
    <row r="2" spans="2:11" ht="38.25">
      <c r="B2" s="7" t="s">
        <v>40</v>
      </c>
      <c r="C2" s="2" t="s">
        <v>83</v>
      </c>
      <c r="D2" s="2"/>
      <c r="E2" s="17">
        <v>0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>
        <f>F6+SUM(C11:N11)+SUM(C16:G16)+C21+C25</f>
        <v>37.59042557048588</v>
      </c>
      <c r="J4" s="31">
        <f>IF(E2=0,I4/E6,0)</f>
        <v>38.7530160520473</v>
      </c>
      <c r="K4" s="51">
        <f>IF(C1=1,IF(E2=1,I4/E6,J4/'Costs &amp; Inputs'!M23),0)</f>
        <v>0.00034282569048166403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5" t="s">
        <v>73</v>
      </c>
      <c r="C6">
        <f>ROUNDUP(IF(Inputs!$C$7=0,'Costs &amp; Inputs'!$M$22/'Costs &amp; Inputs'!H5,'Costs &amp; Inputs'!D5),0)</f>
        <v>1</v>
      </c>
      <c r="D6" s="33">
        <f>ROUNDUP(('Costs &amp; Inputs'!M22)/'Costs &amp; Inputs'!M23,0)</f>
        <v>1</v>
      </c>
      <c r="E6" s="33">
        <f>IF(C1=1,IF(Inputs!C7=1,MIN(D6,'Costs &amp; Inputs'!F5*'Costs &amp; Inputs'!D5)*'Costs &amp; Inputs'!K5,'Wafer Thinning'!D6*'Costs &amp; Inputs'!K5),'Wafer Thinning'!D6)</f>
        <v>0.97</v>
      </c>
      <c r="F6" s="23">
        <f>C6*'Costs &amp; Inputs'!P5/('Costs &amp; Inputs'!I5*Inputs!$C$15)</f>
        <v>17.4526301369863</v>
      </c>
    </row>
    <row r="8" spans="2:15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45</v>
      </c>
      <c r="L8" s="13" t="s">
        <v>107</v>
      </c>
      <c r="M8" s="13" t="s">
        <v>141</v>
      </c>
      <c r="N8" s="13" t="s">
        <v>142</v>
      </c>
      <c r="O8" s="13"/>
    </row>
    <row r="9" spans="2:15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72</v>
      </c>
      <c r="L9" s="13" t="s">
        <v>37</v>
      </c>
      <c r="M9" s="13" t="s">
        <v>143</v>
      </c>
      <c r="N9" s="13" t="s">
        <v>143</v>
      </c>
      <c r="O9" s="13"/>
    </row>
    <row r="10" spans="2:14" ht="12.75">
      <c r="B10" s="5" t="s">
        <v>71</v>
      </c>
      <c r="C10" s="11">
        <v>0</v>
      </c>
      <c r="D10" s="11">
        <v>454</v>
      </c>
      <c r="E10" s="11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33">
        <f>D6</f>
        <v>1</v>
      </c>
      <c r="L10" s="9">
        <v>0</v>
      </c>
      <c r="M10">
        <f>E6/600</f>
        <v>0.0016166666666666666</v>
      </c>
      <c r="N10">
        <f>E6/6000</f>
        <v>0.00016166666666666668</v>
      </c>
    </row>
    <row r="11" spans="2:14" ht="12.75">
      <c r="B11" s="5" t="s">
        <v>136</v>
      </c>
      <c r="C11" s="35">
        <f>C10*'Costs &amp; Inputs'!C18*$C$6</f>
        <v>0</v>
      </c>
      <c r="D11" s="35">
        <f>D10*'Costs &amp; Inputs'!D18*$C$6</f>
        <v>1.604295433499577</v>
      </c>
      <c r="E11" s="35">
        <f>E10*'Costs &amp; Inputs'!E18*$C$6</f>
        <v>0</v>
      </c>
      <c r="F11" s="3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25">
        <f>K10*'Costs &amp; Inputs'!K18</f>
        <v>0</v>
      </c>
      <c r="L11">
        <f>L10*'Costs &amp; Inputs'!L18</f>
        <v>0</v>
      </c>
      <c r="M11">
        <f>M10*'Costs &amp; Inputs'!M18</f>
        <v>0.4365</v>
      </c>
      <c r="N11">
        <f>N10*'Costs &amp; Inputs'!N18</f>
        <v>0.097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J15" s="20"/>
    </row>
    <row r="16" spans="2:7" ht="12.75">
      <c r="B16" s="5" t="s">
        <v>136</v>
      </c>
      <c r="C16" s="25">
        <f>'Costs &amp; Inputs'!C23*C15*$C$6</f>
        <v>0</v>
      </c>
      <c r="D16" s="37">
        <f>'Costs &amp; Inputs'!D23*D15</f>
        <v>0</v>
      </c>
      <c r="E16" s="37">
        <f>'Costs &amp; Inputs'!E23*E15</f>
        <v>0</v>
      </c>
      <c r="F16" s="37">
        <f>'Costs &amp; Inputs'!F23*F15</f>
        <v>18</v>
      </c>
      <c r="G16" s="37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>
        <f>F6</f>
        <v>17.4526301369863</v>
      </c>
    </row>
    <row r="21" spans="2:9" ht="12.75">
      <c r="B21" s="5" t="s">
        <v>136</v>
      </c>
      <c r="C21" s="25">
        <f>C20*'Costs &amp; Inputs'!C28*$C$6</f>
        <v>0</v>
      </c>
      <c r="H21" s="45" t="s">
        <v>68</v>
      </c>
      <c r="I21" s="49">
        <f>SUM(C16:G16)</f>
        <v>18</v>
      </c>
    </row>
    <row r="22" spans="2:9" ht="13.5" thickBot="1">
      <c r="B22" s="5"/>
      <c r="G22" t="s">
        <v>12</v>
      </c>
      <c r="H22" s="46" t="s">
        <v>120</v>
      </c>
      <c r="I22" s="50">
        <f>SUM(C11:N11)+C21</f>
        <v>2.137795433499577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200" verticalDpi="2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25"/>
  <sheetViews>
    <sheetView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4.2812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Inputs'!C6</f>
        <v>1</v>
      </c>
    </row>
    <row r="2" spans="2:11" ht="51">
      <c r="B2" s="7" t="s">
        <v>40</v>
      </c>
      <c r="C2" s="2" t="s">
        <v>41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>
        <f>F6+SUM(C11:K11)+SUM(C16:G16)+C21+C25+L11</f>
        <v>32.77099242625964</v>
      </c>
      <c r="J4" s="31">
        <f>IF(E2=0,I4/F6,0)</f>
        <v>0</v>
      </c>
      <c r="K4" s="51">
        <f>IF(C1=1,IF(E2=1,I4/E6,0),0)</f>
        <v>0.0003081158049563194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6</v>
      </c>
      <c r="C6">
        <f>ROUNDUP(IF(Inputs!C7=0,'Costs &amp; Inputs'!$M$22/'Costs &amp; Inputs'!H6,'Costs &amp; Inputs'!D6),0)</f>
        <v>1</v>
      </c>
      <c r="D6" s="33">
        <f>'Wafer Thinning'!E6</f>
        <v>0.97</v>
      </c>
      <c r="E6" s="33">
        <f>IF(C1=1,IF(Inputs!C7=0,D6*'Costs &amp; Inputs'!M23*'Costs &amp; Inputs'!K6,MIN('Costs &amp; Inputs'!F6*'Costs &amp; Inputs'!D6*'Costs &amp; Inputs'!M23*'Costs &amp; Inputs'!K6,'Costs &amp; Inputs'!M23*Dicing!D6*'Costs &amp; Inputs'!K6)),D6)</f>
        <v>106359.336</v>
      </c>
      <c r="F6" s="23">
        <f>C6*'Costs &amp; Inputs'!P6/('Costs &amp; Inputs'!I6*Inputs!$C$15)</f>
        <v>12.356842465753425</v>
      </c>
    </row>
    <row r="8" spans="2:12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  <c r="L8" s="13" t="s">
        <v>150</v>
      </c>
    </row>
    <row r="9" spans="2:12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37</v>
      </c>
      <c r="L9" s="13" t="s">
        <v>84</v>
      </c>
    </row>
    <row r="10" spans="2:12" ht="12.75">
      <c r="B10" s="5" t="s">
        <v>71</v>
      </c>
      <c r="C10" s="11">
        <f>150</f>
        <v>150</v>
      </c>
      <c r="D10" s="11">
        <f>7*60</f>
        <v>420</v>
      </c>
      <c r="E10" s="11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9">
        <v>0</v>
      </c>
      <c r="L10" s="9">
        <f>D6*'Costs &amp; Inputs'!C9</f>
        <v>0</v>
      </c>
    </row>
    <row r="11" spans="2:12" ht="12.75">
      <c r="B11" s="5" t="s">
        <v>136</v>
      </c>
      <c r="C11" s="35">
        <f>C10*'Costs &amp; Inputs'!C18*$C$6</f>
        <v>0.45</v>
      </c>
      <c r="D11" s="35">
        <f>D10*'Costs &amp; Inputs'!D18*$C$6</f>
        <v>1.4841499605062165</v>
      </c>
      <c r="E11" s="35">
        <f>E10*'Costs &amp; Inputs'!E18*$C$6</f>
        <v>0</v>
      </c>
      <c r="F11" s="3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25">
        <f>K10*'Costs &amp; Inputs'!K18</f>
        <v>0</v>
      </c>
      <c r="L11">
        <f>L10*'Costs &amp; Inputs'!O18</f>
        <v>0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J15" s="20"/>
    </row>
    <row r="16" spans="2:7" ht="12.75">
      <c r="B16" s="5" t="s">
        <v>136</v>
      </c>
      <c r="C16" s="25">
        <f>'Costs &amp; Inputs'!C23*C15*$C$6</f>
        <v>0</v>
      </c>
      <c r="D16" s="25">
        <f>'Costs &amp; Inputs'!D23*D15</f>
        <v>0</v>
      </c>
      <c r="E16" s="25">
        <f>'Costs &amp; Inputs'!E23*E15</f>
        <v>0</v>
      </c>
      <c r="F16" s="25">
        <f>'Costs &amp; Inputs'!F23*F15</f>
        <v>18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f>0.8*60</f>
        <v>48</v>
      </c>
      <c r="H20" s="45" t="s">
        <v>47</v>
      </c>
      <c r="I20" s="48">
        <f>F6</f>
        <v>12.356842465753425</v>
      </c>
    </row>
    <row r="21" spans="2:9" ht="12.75">
      <c r="B21" s="5" t="s">
        <v>136</v>
      </c>
      <c r="C21" s="25">
        <f>C20*'Costs &amp; Inputs'!C28*$C$6</f>
        <v>0.48</v>
      </c>
      <c r="H21" s="45" t="s">
        <v>68</v>
      </c>
      <c r="I21" s="49">
        <f>SUM(C16:G16)</f>
        <v>18</v>
      </c>
    </row>
    <row r="22" spans="2:9" ht="13.5" thickBot="1">
      <c r="B22" s="5"/>
      <c r="G22" t="s">
        <v>12</v>
      </c>
      <c r="H22" s="46" t="s">
        <v>120</v>
      </c>
      <c r="I22" s="50">
        <f>SUM(C11:L11)+C21</f>
        <v>2.4141499605062164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K25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4.5742187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4.42187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Inputs'!C8</f>
        <v>1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>
        <f>F6+SUM(C11:K11)+SUM(C16:G16)+C21+C25</f>
        <v>3065.2807377967124</v>
      </c>
      <c r="J4" s="31">
        <f>IF(E2=0,I4/F6,0)</f>
        <v>0</v>
      </c>
      <c r="K4" s="51">
        <f>IF(C1=1,IF(E2=1,I4/E6,0),0)</f>
        <v>0.02971138551336924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36</v>
      </c>
      <c r="C6" s="33">
        <f>ROUNDUP(IF(Inputs!C7=0,'Costs &amp; Inputs'!$M$22/'Costs &amp; Inputs'!H8,'Costs &amp; Inputs'!D8),0)</f>
        <v>31</v>
      </c>
      <c r="D6" s="33">
        <f>DUMMY3!E6</f>
        <v>106359.336</v>
      </c>
      <c r="E6" s="33">
        <f>IF(C1=1,IF(Inputs!C7=0,D6*'Costs &amp; Inputs'!K8,MIN('Costs &amp; Inputs'!F8*'Costs &amp; Inputs'!D8*'Costs &amp; Inputs'!K8,'Costs &amp; Inputs'!K8*D6)),D6)</f>
        <v>103168.55592</v>
      </c>
      <c r="F6" s="23">
        <f>C6*'Costs &amp; Inputs'!P8/('Costs &amp; Inputs'!I8*Inputs!$C$15)</f>
        <v>1151.7952328767124</v>
      </c>
    </row>
    <row r="8" spans="2:11" ht="60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5.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37</v>
      </c>
      <c r="K9" s="13" t="s">
        <v>146</v>
      </c>
    </row>
    <row r="10" spans="2:11" ht="12.75">
      <c r="B10" s="5" t="s">
        <v>71</v>
      </c>
      <c r="C10" s="36">
        <f>170</f>
        <v>170</v>
      </c>
      <c r="D10" s="10">
        <v>0</v>
      </c>
      <c r="E10" s="10">
        <f>0.5*60</f>
        <v>30</v>
      </c>
      <c r="F10" s="10">
        <v>0</v>
      </c>
      <c r="G10" s="10">
        <v>0</v>
      </c>
      <c r="H10" s="10">
        <v>0</v>
      </c>
      <c r="I10" s="10">
        <v>0</v>
      </c>
      <c r="J10" s="58">
        <v>1</v>
      </c>
      <c r="K10" s="57">
        <f>E6</f>
        <v>103168.55592</v>
      </c>
    </row>
    <row r="11" spans="2:11" ht="12.75">
      <c r="B11" s="5" t="s">
        <v>136</v>
      </c>
      <c r="C11" s="37">
        <f>C10*'Costs &amp; Inputs'!C18*$C$6</f>
        <v>15.81</v>
      </c>
      <c r="D11" s="37">
        <f>D10*'Costs &amp; Inputs'!D18*$C$6</f>
        <v>0</v>
      </c>
      <c r="E11" s="37">
        <f>E10*'Costs &amp; Inputs'!E18*$C$6</f>
        <v>27.9</v>
      </c>
      <c r="F11" s="2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361.08994572</v>
      </c>
      <c r="K11" s="35">
        <f>K10*'Costs &amp; Inputs'!L18</f>
        <v>1031.6855592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1</v>
      </c>
      <c r="D15" s="10">
        <v>0.3</v>
      </c>
      <c r="E15" s="10">
        <v>0</v>
      </c>
      <c r="F15" s="10">
        <v>0.3</v>
      </c>
      <c r="G15" s="10">
        <v>0</v>
      </c>
      <c r="J15" s="20"/>
    </row>
    <row r="16" spans="2:7" ht="12.75">
      <c r="B16" s="5" t="s">
        <v>136</v>
      </c>
      <c r="C16" s="25">
        <f>'Costs &amp; Inputs'!C23*C15*$C$6</f>
        <v>465</v>
      </c>
      <c r="D16" s="25">
        <f>'Costs &amp; Inputs'!D23*D15</f>
        <v>6.6</v>
      </c>
      <c r="E16" s="25">
        <f>'Costs &amp; Inputs'!E23*E15</f>
        <v>0</v>
      </c>
      <c r="F16" s="25">
        <f>'Costs &amp; Inputs'!F23*F15</f>
        <v>5.3999999999999995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>
        <f>F6</f>
        <v>1151.7952328767124</v>
      </c>
    </row>
    <row r="21" spans="2:9" ht="12.75">
      <c r="B21" s="5" t="s">
        <v>136</v>
      </c>
      <c r="C21" s="25">
        <f>C20*'Costs &amp; Inputs'!C28*$C$6</f>
        <v>0</v>
      </c>
      <c r="H21" s="45" t="s">
        <v>68</v>
      </c>
      <c r="I21" s="49">
        <f>SUM(C16:G16)</f>
        <v>477</v>
      </c>
    </row>
    <row r="22" spans="2:9" ht="13.5" thickBot="1">
      <c r="B22" s="5"/>
      <c r="G22" t="s">
        <v>12</v>
      </c>
      <c r="H22" s="46" t="s">
        <v>120</v>
      </c>
      <c r="I22" s="50">
        <f>SUM(C11:L11)+C21</f>
        <v>1436.48550492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K25"/>
  <sheetViews>
    <sheetView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5.0039062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Inputs'!C9</f>
        <v>0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 t="e">
        <f>F6+SUM(C11:K11)+SUM(C16:G16)+C21+C25</f>
        <v>#VALUE!</v>
      </c>
      <c r="J4" s="31">
        <f>IF(E2=0,I4/F6,0)</f>
        <v>0</v>
      </c>
      <c r="K4" s="51">
        <f>IF(C1=1,IF(E2=1,I4/E6,0),0)</f>
        <v>0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111</v>
      </c>
      <c r="C6" s="33" t="e">
        <f>ROUNDUP(IF(Inputs!C7=0,'Costs &amp; Inputs'!$M$22/'Costs &amp; Inputs'!H9,'Costs &amp; Inputs'!D9),0)</f>
        <v>#VALUE!</v>
      </c>
      <c r="D6" s="33">
        <f>'Traditional Assem'!E6</f>
        <v>103168.55592</v>
      </c>
      <c r="E6" s="33">
        <f>IF(C1=1,IF(Inputs!C7=0,D6*'Costs &amp; Inputs'!K9,MIN('Costs &amp; Inputs'!F9*'Costs &amp; Inputs'!D9*'Costs &amp; Inputs'!K9,'Costs &amp; Inputs'!K9*D6)),D6)</f>
        <v>103168.55592</v>
      </c>
      <c r="F6" s="23" t="e">
        <f>C6*'Costs &amp; Inputs'!P9/('Costs &amp; Inputs'!I9*Inputs!$C$15)</f>
        <v>#VALUE!</v>
      </c>
    </row>
    <row r="8" spans="2:11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146</v>
      </c>
    </row>
    <row r="10" spans="2:11" ht="12.75">
      <c r="B10" s="5" t="s">
        <v>71</v>
      </c>
      <c r="C10" s="10">
        <v>0</v>
      </c>
      <c r="D10" s="10">
        <v>0</v>
      </c>
      <c r="E10" s="10">
        <v>0</v>
      </c>
      <c r="F10" s="10">
        <v>0.0001</v>
      </c>
      <c r="G10" s="10">
        <v>0.0001</v>
      </c>
      <c r="H10" s="10">
        <v>1E-07</v>
      </c>
      <c r="I10" s="10">
        <v>0.0001</v>
      </c>
      <c r="J10" s="10">
        <v>0.0001</v>
      </c>
      <c r="K10" s="57">
        <f>E6</f>
        <v>103168.55592</v>
      </c>
    </row>
    <row r="11" spans="2:11" ht="12.75">
      <c r="B11" s="5" t="s">
        <v>136</v>
      </c>
      <c r="C11" s="35" t="e">
        <f>C10*'Costs &amp; Inputs'!C18*$C$6</f>
        <v>#VALUE!</v>
      </c>
      <c r="D11" s="35" t="e">
        <f>D10*'Costs &amp; Inputs'!D18*$C$6</f>
        <v>#VALUE!</v>
      </c>
      <c r="E11" s="35" t="e">
        <f>E10*'Costs &amp; Inputs'!E18*$C$6</f>
        <v>#VALUE!</v>
      </c>
      <c r="F11" s="25">
        <f>F10*'Costs &amp; Inputs'!F18*$E$6</f>
        <v>6.602787578880001</v>
      </c>
      <c r="G11" s="25">
        <f>G10*'Costs &amp; Inputs'!G18*$E$6</f>
        <v>29.71254410496</v>
      </c>
      <c r="H11" s="25">
        <f>H10*'Costs &amp; Inputs'!H18*$E$6</f>
        <v>35.407448391744</v>
      </c>
      <c r="I11" s="25">
        <f>I10*'Costs &amp; Inputs'!I18*$E$6</f>
        <v>30.950566776000002</v>
      </c>
      <c r="J11" s="25">
        <f>J10*'Costs &amp; Inputs'!J18*$E$6</f>
        <v>0.036108994572</v>
      </c>
      <c r="K11" s="35">
        <f>K10*'Costs &amp; Inputs'!L18</f>
        <v>1031.6855592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1</v>
      </c>
      <c r="D15" s="10">
        <v>1</v>
      </c>
      <c r="E15" s="10">
        <v>0</v>
      </c>
      <c r="F15" s="10">
        <v>2</v>
      </c>
      <c r="G15" s="10">
        <v>0</v>
      </c>
      <c r="J15" s="20"/>
    </row>
    <row r="16" spans="2:7" ht="12.75">
      <c r="B16" s="5" t="s">
        <v>136</v>
      </c>
      <c r="C16" s="25" t="e">
        <f>'Costs &amp; Inputs'!C23*C15*$C$6</f>
        <v>#VALUE!</v>
      </c>
      <c r="D16" s="25">
        <f>'Costs &amp; Inputs'!D23*D15</f>
        <v>22</v>
      </c>
      <c r="E16" s="25">
        <f>'Costs &amp; Inputs'!E23*E15</f>
        <v>0</v>
      </c>
      <c r="F16" s="25">
        <f>'Costs &amp; Inputs'!F23*F15</f>
        <v>36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 t="e">
        <f>F6</f>
        <v>#VALUE!</v>
      </c>
    </row>
    <row r="21" spans="2:9" ht="12.75">
      <c r="B21" s="5" t="s">
        <v>136</v>
      </c>
      <c r="C21" s="25" t="e">
        <f>C20*'Costs &amp; Inputs'!C28*$C$6</f>
        <v>#VALUE!</v>
      </c>
      <c r="H21" s="45" t="s">
        <v>68</v>
      </c>
      <c r="I21" s="49" t="e">
        <f>SUM(C16:G16)</f>
        <v>#VALUE!</v>
      </c>
    </row>
    <row r="22" spans="2:9" ht="13.5" thickBot="1">
      <c r="B22" s="5"/>
      <c r="G22" t="s">
        <v>12</v>
      </c>
      <c r="H22" s="46" t="s">
        <v>120</v>
      </c>
      <c r="I22" s="50" t="e">
        <f>SUM(C11:L11)+C21</f>
        <v>#VALUE!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K25"/>
  <sheetViews>
    <sheetView workbookViewId="0" topLeftCell="A1">
      <selection activeCell="J11" sqref="J11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4.5742187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Inputs'!C11</f>
        <v>1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>
        <f>F6+SUM(C11:K11)+SUM(C16:G16)+C21+C25</f>
        <v>113.89523287671233</v>
      </c>
      <c r="J4" s="31">
        <f>IF(E2=0,I4/F6,0)</f>
        <v>0</v>
      </c>
      <c r="K4" s="51">
        <f>IF(C1=1,IF(E2=1,I4/E6,0),0)</f>
        <v>0.0011381158222601277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113</v>
      </c>
      <c r="C6" s="33">
        <f>ROUNDUP(IF(Inputs!C7=0,'Costs &amp; Inputs'!$M$22/'Costs &amp; Inputs'!H11,'Costs &amp; Inputs'!D11),0)</f>
        <v>16</v>
      </c>
      <c r="D6" s="33">
        <f>DUMMY1!E6</f>
        <v>103168.55592</v>
      </c>
      <c r="E6" s="33">
        <f>IF(C1=1,IF(Inputs!C7=0,D6*'Costs &amp; Inputs'!K11,MIN('Costs &amp; Inputs'!F11*'Costs &amp; Inputs'!D11*'Costs &amp; Inputs'!K11,'Costs &amp; Inputs'!K11*'Tag Test'!D6)),D6)</f>
        <v>100073.4992424</v>
      </c>
      <c r="F6" s="23">
        <f>C6*'Costs &amp; Inputs'!P11/('Costs &amp; Inputs'!I11*Inputs!$C$15)</f>
        <v>103.93523287671233</v>
      </c>
    </row>
    <row r="8" spans="2:11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37</v>
      </c>
    </row>
    <row r="10" spans="2:11" ht="12.75">
      <c r="B10" s="5" t="s">
        <v>71</v>
      </c>
      <c r="C10" s="10">
        <v>20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9">
        <v>0</v>
      </c>
    </row>
    <row r="11" spans="2:11" ht="12.75">
      <c r="B11" s="5" t="s">
        <v>136</v>
      </c>
      <c r="C11" s="37">
        <f>C10*'Costs &amp; Inputs'!C18*$C$6</f>
        <v>0.96</v>
      </c>
      <c r="D11" s="37">
        <f>D10*'Costs &amp; Inputs'!D18*$C$6</f>
        <v>0</v>
      </c>
      <c r="E11" s="37">
        <f>E10*'Costs &amp; Inputs'!E18*$C$6</f>
        <v>0</v>
      </c>
      <c r="F11" s="2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35">
        <f>K10*'Costs &amp; Inputs'!L18</f>
        <v>0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0</v>
      </c>
      <c r="D15" s="10">
        <v>0</v>
      </c>
      <c r="E15" s="10">
        <v>0</v>
      </c>
      <c r="F15" s="10">
        <v>0.5</v>
      </c>
      <c r="G15" s="10">
        <v>0</v>
      </c>
      <c r="J15" s="20"/>
    </row>
    <row r="16" spans="2:7" ht="12.75">
      <c r="B16" s="5" t="s">
        <v>136</v>
      </c>
      <c r="C16" s="25">
        <f>'Costs &amp; Inputs'!C23*C15*$C$6</f>
        <v>0</v>
      </c>
      <c r="D16" s="25">
        <f>'Costs &amp; Inputs'!D23*D15</f>
        <v>0</v>
      </c>
      <c r="E16" s="25">
        <f>'Costs &amp; Inputs'!E23*E15</f>
        <v>0</v>
      </c>
      <c r="F16" s="25">
        <f>'Costs &amp; Inputs'!F23*F15</f>
        <v>9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>
        <f>F6</f>
        <v>103.93523287671233</v>
      </c>
    </row>
    <row r="21" spans="2:9" ht="12.75">
      <c r="B21" s="5" t="s">
        <v>136</v>
      </c>
      <c r="C21" s="25">
        <f>C20*'Costs &amp; Inputs'!C28*$C$6</f>
        <v>0</v>
      </c>
      <c r="H21" s="45" t="s">
        <v>68</v>
      </c>
      <c r="I21" s="49">
        <f>SUM(C16:G16)</f>
        <v>9</v>
      </c>
    </row>
    <row r="22" spans="2:9" ht="13.5" thickBot="1">
      <c r="B22" s="5"/>
      <c r="G22" t="s">
        <v>12</v>
      </c>
      <c r="H22" s="46" t="s">
        <v>120</v>
      </c>
      <c r="I22" s="50">
        <f>SUM(C11:L11)+C21</f>
        <v>0.96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K25"/>
  <sheetViews>
    <sheetView workbookViewId="0" topLeftCell="A1">
      <selection activeCell="I12" sqref="I12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4.42187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Inputs'!C10</f>
        <v>0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 t="e">
        <f>F6+SUM(C11:K11)+SUM(C16:G16)+C21+C25</f>
        <v>#VALUE!</v>
      </c>
      <c r="J4" s="31">
        <f>IF(E2=0,I4/F6,0)</f>
        <v>0</v>
      </c>
      <c r="K4" s="52">
        <f>IF(C1=1,IF(E2=1,I4/E6,0),0)</f>
        <v>0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112</v>
      </c>
      <c r="C6" s="33" t="e">
        <f>ROUNDUP(IF(Inputs!C7=0,'Costs &amp; Inputs'!$M$22/'Costs &amp; Inputs'!H10,'Costs &amp; Inputs'!D10),0)</f>
        <v>#VALUE!</v>
      </c>
      <c r="D6" s="33">
        <f>'Flip Chip Assem'!E6</f>
        <v>103168.55592</v>
      </c>
      <c r="E6" s="33">
        <f>IF(C1=1,IF(Inputs!C7=0,D6*'Costs &amp; Inputs'!K10,MIN('Costs &amp; Inputs'!F10*'Costs &amp; Inputs'!D10*'Costs &amp; Inputs'!K10,'Costs &amp; Inputs'!K10*D6)),D6)</f>
        <v>103168.55592</v>
      </c>
      <c r="F6" s="23" t="e">
        <f>C6*'Costs &amp; Inputs'!P10/('Costs &amp; Inputs'!I10*Inputs!$C$15)</f>
        <v>#VALUE!</v>
      </c>
    </row>
    <row r="8" spans="2:11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37</v>
      </c>
    </row>
    <row r="10" spans="2:11" ht="12.75">
      <c r="B10" s="5" t="s">
        <v>71</v>
      </c>
      <c r="C10" s="10">
        <v>0</v>
      </c>
      <c r="D10" s="10">
        <v>10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9">
        <v>1</v>
      </c>
    </row>
    <row r="11" spans="2:11" ht="12.75">
      <c r="B11" s="5" t="s">
        <v>136</v>
      </c>
      <c r="C11" s="37" t="e">
        <f>C10*'Costs &amp; Inputs'!C18*$C$6</f>
        <v>#VALUE!</v>
      </c>
      <c r="D11" s="37" t="e">
        <f>D10*'Costs &amp; Inputs'!D18*$C$6</f>
        <v>#VALUE!</v>
      </c>
      <c r="E11" s="37" t="e">
        <f>E10*'Costs &amp; Inputs'!E18*$C$6</f>
        <v>#VALUE!</v>
      </c>
      <c r="F11" s="2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35">
        <f>K10*'Costs &amp; Inputs'!L18</f>
        <v>0.01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1</v>
      </c>
      <c r="D15" s="10">
        <v>1</v>
      </c>
      <c r="E15" s="10">
        <v>0</v>
      </c>
      <c r="F15" s="10">
        <v>1</v>
      </c>
      <c r="G15" s="10">
        <v>0</v>
      </c>
      <c r="J15" s="20"/>
    </row>
    <row r="16" spans="2:7" ht="12.75">
      <c r="B16" s="5" t="s">
        <v>136</v>
      </c>
      <c r="C16" s="25" t="e">
        <f>'Costs &amp; Inputs'!C23*C15*$C$6</f>
        <v>#VALUE!</v>
      </c>
      <c r="D16" s="25">
        <f>'Costs &amp; Inputs'!D23*D15</f>
        <v>22</v>
      </c>
      <c r="E16" s="25">
        <f>'Costs &amp; Inputs'!E23*E15</f>
        <v>0</v>
      </c>
      <c r="F16" s="25">
        <f>'Costs &amp; Inputs'!F23*F15</f>
        <v>18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0</v>
      </c>
      <c r="H20" s="45" t="s">
        <v>47</v>
      </c>
      <c r="I20" s="48" t="e">
        <f>F6</f>
        <v>#VALUE!</v>
      </c>
    </row>
    <row r="21" spans="2:9" ht="12.75">
      <c r="B21" s="5" t="s">
        <v>136</v>
      </c>
      <c r="C21" s="25" t="e">
        <f>C20*'Costs &amp; Inputs'!C28*$C$6</f>
        <v>#VALUE!</v>
      </c>
      <c r="H21" s="45" t="s">
        <v>68</v>
      </c>
      <c r="I21" s="49" t="e">
        <f>SUM(C16:G16)</f>
        <v>#VALUE!</v>
      </c>
    </row>
    <row r="22" spans="2:9" ht="13.5" thickBot="1">
      <c r="B22" s="5"/>
      <c r="G22" t="s">
        <v>12</v>
      </c>
      <c r="H22" s="46" t="s">
        <v>120</v>
      </c>
      <c r="I22" s="50" t="e">
        <f>SUM(C11:L11)+C21</f>
        <v>#VALUE!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K25"/>
  <sheetViews>
    <sheetView workbookViewId="0" topLeftCell="A1">
      <selection activeCell="J11" sqref="J11"/>
    </sheetView>
  </sheetViews>
  <sheetFormatPr defaultColWidth="9.140625" defaultRowHeight="12.75"/>
  <cols>
    <col min="1" max="1" width="4.7109375" style="0" customWidth="1"/>
    <col min="2" max="2" width="12.57421875" style="0" customWidth="1"/>
    <col min="3" max="3" width="15.57421875" style="0" customWidth="1"/>
    <col min="4" max="4" width="11.7109375" style="0" customWidth="1"/>
    <col min="5" max="5" width="11.8515625" style="0" customWidth="1"/>
    <col min="6" max="6" width="12.57421875" style="0" customWidth="1"/>
    <col min="7" max="7" width="11.28125" style="0" customWidth="1"/>
    <col min="8" max="8" width="11.8515625" style="0" customWidth="1"/>
    <col min="9" max="9" width="13.8515625" style="0" customWidth="1"/>
    <col min="10" max="10" width="10.00390625" style="0" customWidth="1"/>
    <col min="11" max="11" width="11.00390625" style="0" customWidth="1"/>
  </cols>
  <sheetData>
    <row r="1" spans="2:3" ht="13.5" thickBot="1">
      <c r="B1" s="39" t="s">
        <v>108</v>
      </c>
      <c r="C1">
        <f>'Costs &amp; Inputs'!C12</f>
        <v>0</v>
      </c>
    </row>
    <row r="2" spans="2:11" ht="51">
      <c r="B2" s="7" t="s">
        <v>40</v>
      </c>
      <c r="C2" s="2" t="s">
        <v>89</v>
      </c>
      <c r="D2" s="2"/>
      <c r="E2" s="17">
        <v>1</v>
      </c>
      <c r="F2" s="1" t="s">
        <v>82</v>
      </c>
      <c r="H2" s="26" t="s">
        <v>69</v>
      </c>
      <c r="I2" s="27" t="s">
        <v>64</v>
      </c>
      <c r="J2" s="27" t="s">
        <v>70</v>
      </c>
      <c r="K2" s="19" t="s">
        <v>70</v>
      </c>
    </row>
    <row r="3" spans="8:11" ht="12.75">
      <c r="H3" s="28" t="s">
        <v>27</v>
      </c>
      <c r="I3" s="24" t="s">
        <v>44</v>
      </c>
      <c r="J3" s="24" t="s">
        <v>84</v>
      </c>
      <c r="K3" s="29" t="s">
        <v>85</v>
      </c>
    </row>
    <row r="4" spans="2:11" ht="13.5" thickBot="1">
      <c r="B4" s="4" t="s">
        <v>0</v>
      </c>
      <c r="C4" s="2" t="s">
        <v>49</v>
      </c>
      <c r="D4" s="2" t="s">
        <v>88</v>
      </c>
      <c r="E4" s="2" t="s">
        <v>59</v>
      </c>
      <c r="F4" s="2" t="s">
        <v>16</v>
      </c>
      <c r="H4" s="30"/>
      <c r="I4" s="31" t="e">
        <f>F6+SUM(C11:K11)+SUM(C16:G16)+C21+C25</f>
        <v>#VALUE!</v>
      </c>
      <c r="J4" s="31">
        <f>IF(E2=0,I4/F6,0)</f>
        <v>0</v>
      </c>
      <c r="K4" s="51">
        <f>IF(C1=1,IF(E2=1,I4/E6,0),0)</f>
        <v>0</v>
      </c>
    </row>
    <row r="5" spans="2:8" ht="12.75">
      <c r="B5" s="7" t="s">
        <v>27</v>
      </c>
      <c r="C5" s="2"/>
      <c r="D5" s="2" t="s">
        <v>37</v>
      </c>
      <c r="E5" s="2" t="s">
        <v>37</v>
      </c>
      <c r="F5" s="2" t="s">
        <v>44</v>
      </c>
      <c r="G5" s="20"/>
      <c r="H5" s="20"/>
    </row>
    <row r="6" spans="2:6" ht="12.75">
      <c r="B6" s="1" t="s">
        <v>114</v>
      </c>
      <c r="C6" s="33" t="e">
        <f>ROUNDUP(IF(Inputs!C7=0,'Costs &amp; Inputs'!$M$22/'Costs &amp; Inputs'!H12,'Costs &amp; Inputs'!D12),0)</f>
        <v>#VALUE!</v>
      </c>
      <c r="D6" s="33">
        <f>'Tag Test'!E6</f>
        <v>100073.4992424</v>
      </c>
      <c r="E6" s="33">
        <f>IF(C1=1,IF(Inputs!C7=0,D6*'Costs &amp; Inputs'!K12,MIN('Costs &amp; Inputs'!F12*'Costs &amp; Inputs'!D12*'Costs &amp; Inputs'!K12,'Costs &amp; Inputs'!K12*DUMMY2!D6)),D6)</f>
        <v>100073.4992424</v>
      </c>
      <c r="F6" s="23" t="e">
        <f>C6*'Costs &amp; Inputs'!P12/('Costs &amp; Inputs'!I12*Inputs!$C$15)</f>
        <v>#VALUE!</v>
      </c>
    </row>
    <row r="8" spans="2:11" ht="45">
      <c r="B8" s="4" t="s">
        <v>2</v>
      </c>
      <c r="C8" s="3" t="s">
        <v>8</v>
      </c>
      <c r="D8" s="3" t="s">
        <v>9</v>
      </c>
      <c r="E8" s="3" t="s">
        <v>10</v>
      </c>
      <c r="F8" s="13" t="s">
        <v>21</v>
      </c>
      <c r="G8" s="13" t="s">
        <v>22</v>
      </c>
      <c r="H8" s="13" t="s">
        <v>23</v>
      </c>
      <c r="I8" s="13" t="s">
        <v>139</v>
      </c>
      <c r="J8" s="13" t="s">
        <v>140</v>
      </c>
      <c r="K8" s="13" t="s">
        <v>107</v>
      </c>
    </row>
    <row r="9" spans="2:11" ht="26.25">
      <c r="B9" s="7" t="s">
        <v>27</v>
      </c>
      <c r="C9" s="3" t="s">
        <v>118</v>
      </c>
      <c r="D9" s="3" t="s">
        <v>118</v>
      </c>
      <c r="E9" s="3" t="s">
        <v>118</v>
      </c>
      <c r="F9" s="13" t="s">
        <v>117</v>
      </c>
      <c r="G9" s="13" t="s">
        <v>117</v>
      </c>
      <c r="H9" s="13" t="s">
        <v>117</v>
      </c>
      <c r="I9" s="13" t="s">
        <v>117</v>
      </c>
      <c r="J9" s="13" t="s">
        <v>117</v>
      </c>
      <c r="K9" s="13" t="s">
        <v>37</v>
      </c>
    </row>
    <row r="10" spans="2:11" ht="12.75">
      <c r="B10" s="5" t="s">
        <v>71</v>
      </c>
      <c r="C10" s="10">
        <v>1200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9">
        <v>0</v>
      </c>
    </row>
    <row r="11" spans="2:11" ht="12.75">
      <c r="B11" s="5" t="s">
        <v>136</v>
      </c>
      <c r="C11" s="37" t="e">
        <f>C10*'Costs &amp; Inputs'!C18*$C$6</f>
        <v>#VALUE!</v>
      </c>
      <c r="D11" s="37" t="e">
        <f>D10*'Costs &amp; Inputs'!D18*$C$6</f>
        <v>#VALUE!</v>
      </c>
      <c r="E11" s="37" t="e">
        <f>E10*'Costs &amp; Inputs'!E18*$C$6</f>
        <v>#VALUE!</v>
      </c>
      <c r="F11" s="25">
        <f>F10*'Costs &amp; Inputs'!F18*$E$6</f>
        <v>0</v>
      </c>
      <c r="G11" s="25">
        <f>G10*'Costs &amp; Inputs'!G18*$E$6</f>
        <v>0</v>
      </c>
      <c r="H11" s="25">
        <f>H10*'Costs &amp; Inputs'!H18*$E$6</f>
        <v>0</v>
      </c>
      <c r="I11" s="25">
        <f>I10*'Costs &amp; Inputs'!I18*$E$6</f>
        <v>0</v>
      </c>
      <c r="J11" s="25">
        <f>J10*'Costs &amp; Inputs'!J18*$E$6</f>
        <v>0</v>
      </c>
      <c r="K11" s="35">
        <f>K10*'Costs &amp; Inputs'!L18</f>
        <v>0</v>
      </c>
    </row>
    <row r="12" ht="12.75">
      <c r="B12" s="5"/>
    </row>
    <row r="13" spans="2:7" ht="12.75">
      <c r="B13" s="4" t="s">
        <v>3</v>
      </c>
      <c r="C13" s="3" t="s">
        <v>29</v>
      </c>
      <c r="D13" s="3" t="s">
        <v>30</v>
      </c>
      <c r="E13" s="2" t="s">
        <v>31</v>
      </c>
      <c r="F13" s="2" t="s">
        <v>32</v>
      </c>
      <c r="G13" s="2" t="s">
        <v>33</v>
      </c>
    </row>
    <row r="14" spans="2:7" ht="25.5">
      <c r="B14" s="7" t="s">
        <v>57</v>
      </c>
      <c r="C14" s="3" t="s">
        <v>119</v>
      </c>
      <c r="D14" s="3" t="s">
        <v>58</v>
      </c>
      <c r="E14" s="3" t="s">
        <v>58</v>
      </c>
      <c r="F14" s="3" t="s">
        <v>58</v>
      </c>
      <c r="G14" s="3" t="s">
        <v>58</v>
      </c>
    </row>
    <row r="15" spans="2:10" ht="12.75">
      <c r="B15" s="5" t="s">
        <v>71</v>
      </c>
      <c r="C15" s="10">
        <v>0</v>
      </c>
      <c r="D15" s="10">
        <v>0</v>
      </c>
      <c r="E15" s="10">
        <v>0</v>
      </c>
      <c r="F15" s="10">
        <v>1</v>
      </c>
      <c r="G15" s="10">
        <v>0</v>
      </c>
      <c r="J15" s="20"/>
    </row>
    <row r="16" spans="2:7" ht="12.75">
      <c r="B16" s="5" t="s">
        <v>136</v>
      </c>
      <c r="C16" s="25" t="e">
        <f>'Costs &amp; Inputs'!C23*C15*$C$6</f>
        <v>#VALUE!</v>
      </c>
      <c r="D16" s="25">
        <f>'Costs &amp; Inputs'!D23*D15</f>
        <v>0</v>
      </c>
      <c r="E16" s="25">
        <f>'Costs &amp; Inputs'!E23*E15</f>
        <v>0</v>
      </c>
      <c r="F16" s="25">
        <f>'Costs &amp; Inputs'!F23*F15</f>
        <v>18</v>
      </c>
      <c r="G16" s="25">
        <f>'Costs &amp; Inputs'!G23*G15</f>
        <v>0</v>
      </c>
    </row>
    <row r="17" ht="12.75">
      <c r="B17" s="5"/>
    </row>
    <row r="18" spans="2:4" ht="13.5" thickBot="1">
      <c r="B18" s="4" t="s">
        <v>4</v>
      </c>
      <c r="C18" s="2" t="s">
        <v>34</v>
      </c>
      <c r="D18" s="20"/>
    </row>
    <row r="19" spans="2:9" ht="25.5">
      <c r="B19" s="7" t="s">
        <v>57</v>
      </c>
      <c r="C19" s="3" t="s">
        <v>118</v>
      </c>
      <c r="H19" s="47" t="s">
        <v>121</v>
      </c>
      <c r="I19" s="19" t="s">
        <v>44</v>
      </c>
    </row>
    <row r="20" spans="2:9" ht="12.75">
      <c r="B20" s="5" t="s">
        <v>71</v>
      </c>
      <c r="C20" s="32">
        <v>10</v>
      </c>
      <c r="H20" s="45" t="s">
        <v>47</v>
      </c>
      <c r="I20" s="48" t="e">
        <f>F6</f>
        <v>#VALUE!</v>
      </c>
    </row>
    <row r="21" spans="2:9" ht="12.75">
      <c r="B21" s="5" t="s">
        <v>136</v>
      </c>
      <c r="C21" s="25" t="e">
        <f>C20*'Costs &amp; Inputs'!C28*$C$6</f>
        <v>#VALUE!</v>
      </c>
      <c r="H21" s="45" t="s">
        <v>68</v>
      </c>
      <c r="I21" s="49" t="e">
        <f>SUM(C16:G16)</f>
        <v>#VALUE!</v>
      </c>
    </row>
    <row r="22" spans="2:9" ht="13.5" thickBot="1">
      <c r="B22" s="5"/>
      <c r="G22" t="s">
        <v>12</v>
      </c>
      <c r="H22" s="46" t="s">
        <v>120</v>
      </c>
      <c r="I22" s="50" t="e">
        <f>SUM(C11:L11)+C21</f>
        <v>#VALUE!</v>
      </c>
    </row>
    <row r="23" ht="12.75">
      <c r="B23" s="4" t="s">
        <v>5</v>
      </c>
    </row>
    <row r="24" ht="12.75">
      <c r="B24" s="5" t="s">
        <v>71</v>
      </c>
    </row>
    <row r="25" spans="2:3" ht="12.75">
      <c r="B25" s="5" t="s">
        <v>136</v>
      </c>
      <c r="C25" s="25"/>
    </row>
  </sheetData>
  <printOptions/>
  <pageMargins left="0.75" right="0.75" top="1" bottom="1" header="0.5" footer="0.5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Auto-ID</dc:creator>
  <cp:keywords/>
  <dc:description/>
  <cp:lastModifiedBy>Sandy Mallalieu</cp:lastModifiedBy>
  <cp:lastPrinted>2005-02-15T11:50:34Z</cp:lastPrinted>
  <dcterms:created xsi:type="dcterms:W3CDTF">2002-11-19T22:19:44Z</dcterms:created>
  <dcterms:modified xsi:type="dcterms:W3CDTF">2006-02-17T23:44:47Z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642829458</vt:i4>
  </property>
  <property fmtid="{D5CDD505-2E9C-101B-9397-08002B2CF9AE}" pid="3" name="_EmailSubject">
    <vt:lpwstr>Model</vt:lpwstr>
  </property>
  <property fmtid="{D5CDD505-2E9C-101B-9397-08002B2CF9AE}" pid="4" name="_AuthorEmail">
    <vt:lpwstr>debjani@sloan.mit.edu</vt:lpwstr>
  </property>
  <property fmtid="{D5CDD505-2E9C-101B-9397-08002B2CF9AE}" pid="5" name="_AuthorEmailDisplayName">
    <vt:lpwstr>Debjani Deb</vt:lpwstr>
  </property>
  <property fmtid="{D5CDD505-2E9C-101B-9397-08002B2CF9AE}" pid="6" name="_PreviousAdHocReviewCycleID">
    <vt:i4>1306133362</vt:i4>
  </property>
  <property fmtid="{D5CDD505-2E9C-101B-9397-08002B2CF9AE}" pid="7" name="_ReviewingToolsShownOnce">
    <vt:lpwstr/>
  </property>
</Properties>
</file>