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0"/>
  </bookViews>
  <sheets>
    <sheet name="RA" sheetId="1" r:id="rId1"/>
    <sheet name="BCA" sheetId="2" r:id="rId2"/>
  </sheets>
  <definedNames/>
  <calcPr fullCalcOnLoad="1"/>
</workbook>
</file>

<file path=xl/sharedStrings.xml><?xml version="1.0" encoding="utf-8"?>
<sst xmlns="http://schemas.openxmlformats.org/spreadsheetml/2006/main" count="221" uniqueCount="141">
  <si>
    <t>Urban ring radius</t>
  </si>
  <si>
    <t>miles</t>
  </si>
  <si>
    <t>Rail cost per container per mile</t>
  </si>
  <si>
    <t>$/cont-mile</t>
  </si>
  <si>
    <t>Rural Rail accident prob</t>
  </si>
  <si>
    <t>/train mile</t>
  </si>
  <si>
    <t>urban Rail accident prob</t>
  </si>
  <si>
    <t>denominator</t>
  </si>
  <si>
    <t>Duration of project</t>
  </si>
  <si>
    <t>years</t>
  </si>
  <si>
    <t>Truck Cost per container per mile</t>
  </si>
  <si>
    <t>rural Truck accident prob</t>
  </si>
  <si>
    <t>/truck mile</t>
  </si>
  <si>
    <t>urban Truck accident prob</t>
  </si>
  <si>
    <t>Train capacity</t>
  </si>
  <si>
    <t>containers</t>
  </si>
  <si>
    <t>Base cost</t>
  </si>
  <si>
    <t>Mild incident</t>
  </si>
  <si>
    <t>Severe Incident</t>
  </si>
  <si>
    <t>Route</t>
  </si>
  <si>
    <t>Highway dist</t>
  </si>
  <si>
    <t>Rail adj</t>
  </si>
  <si>
    <t>Rail dist</t>
  </si>
  <si>
    <t>Number of Cities</t>
  </si>
  <si>
    <t>Urban miles</t>
  </si>
  <si>
    <t>highway rural distance (miles)</t>
  </si>
  <si>
    <t>Rail rural distance (miles)</t>
  </si>
  <si>
    <t>Total Quantities (container loads)</t>
  </si>
  <si>
    <t>Annual quantities</t>
  </si>
  <si>
    <t>Train loads</t>
  </si>
  <si>
    <t>Population</t>
  </si>
  <si>
    <t>Clean-up cost per city</t>
  </si>
  <si>
    <t>1A</t>
  </si>
  <si>
    <t>2A</t>
  </si>
  <si>
    <t>3A</t>
  </si>
  <si>
    <t>4B</t>
  </si>
  <si>
    <t>5B</t>
  </si>
  <si>
    <t>6B</t>
  </si>
  <si>
    <t>BA</t>
  </si>
  <si>
    <t>AX</t>
  </si>
  <si>
    <t>Costs</t>
  </si>
  <si>
    <t>Probabilities</t>
  </si>
  <si>
    <t>Parameters</t>
  </si>
  <si>
    <t>Urban multiplier</t>
  </si>
  <si>
    <t>Incident Costs</t>
  </si>
  <si>
    <t>indicates that the values are exogenously defined</t>
  </si>
  <si>
    <t>P container fracture if accident</t>
  </si>
  <si>
    <t>P GPS transponder fails if accident</t>
  </si>
  <si>
    <t>P mild if ER on time</t>
  </si>
  <si>
    <t>P severe if ER on time</t>
  </si>
  <si>
    <t>P mild if ER delayed</t>
  </si>
  <si>
    <t>P severe if ER delayed</t>
  </si>
  <si>
    <t>Truck capacity</t>
  </si>
  <si>
    <t>Rail</t>
  </si>
  <si>
    <t>train-miles</t>
  </si>
  <si>
    <t>train miles</t>
  </si>
  <si>
    <t>total</t>
  </si>
  <si>
    <t>Truck</t>
  </si>
  <si>
    <t>truck-miles</t>
  </si>
  <si>
    <t>truck miles</t>
  </si>
  <si>
    <t>Bundles</t>
  </si>
  <si>
    <t>Temp + rail</t>
  </si>
  <si>
    <t>Temp + truck</t>
  </si>
  <si>
    <t>Perm + rail</t>
  </si>
  <si>
    <t>Perm + truck</t>
  </si>
  <si>
    <t>Temp + Rail</t>
  </si>
  <si>
    <t>Temp + Truck</t>
  </si>
  <si>
    <t>Rural annual transportation distance</t>
  </si>
  <si>
    <t>Urban annual transport</t>
  </si>
  <si>
    <t>From T+R</t>
  </si>
  <si>
    <t>From T + T</t>
  </si>
  <si>
    <t>Rural</t>
  </si>
  <si>
    <t>Urban</t>
  </si>
  <si>
    <t>P cont in rail leaking</t>
  </si>
  <si>
    <t>Calculated probabilities</t>
  </si>
  <si>
    <t>P GPS fails in rail</t>
  </si>
  <si>
    <t>BA+AX</t>
  </si>
  <si>
    <t>SNF Leak</t>
  </si>
  <si>
    <t>No Leak</t>
  </si>
  <si>
    <t>Bundle</t>
  </si>
  <si>
    <t>GPSFails</t>
  </si>
  <si>
    <t>GPS Operates</t>
  </si>
  <si>
    <t>Mild</t>
  </si>
  <si>
    <t>Severe</t>
  </si>
  <si>
    <t>Chance</t>
  </si>
  <si>
    <t>Transport choice</t>
  </si>
  <si>
    <t>Event tree if incident happens</t>
  </si>
  <si>
    <t>Total P mild</t>
  </si>
  <si>
    <t>Total P severe</t>
  </si>
  <si>
    <t>Calculation table for expected costs for each bundle</t>
  </si>
  <si>
    <t>Expected number of accidents</t>
  </si>
  <si>
    <t>Excpected number of accidents</t>
  </si>
  <si>
    <t>Clean-up cost rural</t>
  </si>
  <si>
    <t>Clean-up cost urban</t>
  </si>
  <si>
    <t>weighted Clean-up cost per city</t>
  </si>
  <si>
    <t>Weighed cost per incident</t>
  </si>
  <si>
    <t>Probability of leakage given incident</t>
  </si>
  <si>
    <t>Expected costs</t>
  </si>
  <si>
    <t>Total</t>
  </si>
  <si>
    <t>Accident type</t>
  </si>
  <si>
    <t>Accident area</t>
  </si>
  <si>
    <t>Expected costs (base)</t>
  </si>
  <si>
    <t>Benefit from GPS increase in reliability</t>
  </si>
  <si>
    <t>Over ten years</t>
  </si>
  <si>
    <t>discount rate</t>
  </si>
  <si>
    <t>Beneft</t>
  </si>
  <si>
    <t>Cost Type</t>
  </si>
  <si>
    <t>Cost</t>
  </si>
  <si>
    <t>Projected Life (in years)</t>
  </si>
  <si>
    <t>Maintenance Costs</t>
  </si>
  <si>
    <t>Restoration Costs</t>
  </si>
  <si>
    <t>Long-term Central Facility Construction</t>
  </si>
  <si>
    <t>&gt;1000</t>
  </si>
  <si>
    <t>$1M per year for the first 100 years</t>
  </si>
  <si>
    <t>$0. At the end of the facility life, the SNF would be rendered harmless</t>
  </si>
  <si>
    <t>Short-term Facility Construction (both facilities)</t>
  </si>
  <si>
    <t>$4M per year for the life of the project.</t>
  </si>
  <si>
    <t>At the end of the 50 year period there is a 50% probability that the stored SNF will actually be used by newly developed technologies which would bring a benefit of +$200M. Otherwise a permanent facility should be constructed at a cost of ($1B).*</t>
  </si>
  <si>
    <t>Probability</t>
  </si>
  <si>
    <t>Benefit</t>
  </si>
  <si>
    <t>Annual transportation Cost</t>
  </si>
  <si>
    <t>in $</t>
  </si>
  <si>
    <t>Calculating EV for restoration costs/benefits undiscounted</t>
  </si>
  <si>
    <t>Temp+rail</t>
  </si>
  <si>
    <t>Temp+truck</t>
  </si>
  <si>
    <t>Perm+rail</t>
  </si>
  <si>
    <t>Perm+truck</t>
  </si>
  <si>
    <t>Capital costs</t>
  </si>
  <si>
    <t>Rail spur construction</t>
  </si>
  <si>
    <t>Annual transport costs</t>
  </si>
  <si>
    <t>Present value of maintenance costs</t>
  </si>
  <si>
    <t>dr</t>
  </si>
  <si>
    <t>Periods</t>
  </si>
  <si>
    <t>NPV of transport related costs</t>
  </si>
  <si>
    <t>Total Annual Expected Transport Related Costs</t>
  </si>
  <si>
    <t>NPV of Maintenance costs</t>
  </si>
  <si>
    <t>Annual transport risk related expected cost</t>
  </si>
  <si>
    <t>NPV of EV of closing</t>
  </si>
  <si>
    <t>Total NPV</t>
  </si>
  <si>
    <t>Max acceptable additional risk for temp</t>
  </si>
  <si>
    <t>annualized for the 50 year period: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</si>
</sst>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"/>
    <numFmt numFmtId="166" formatCode="0.0000%"/>
    <numFmt numFmtId="167" formatCode="0.00000%"/>
    <numFmt numFmtId="168" formatCode="0.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&quot;$&quot;#,##0.00"/>
    <numFmt numFmtId="175" formatCode="0.000000%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0" fontId="0" fillId="24" borderId="10" xfId="0" applyFill="1" applyBorder="1" applyAlignment="1">
      <alignment/>
    </xf>
    <xf numFmtId="164" fontId="0" fillId="24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1" fontId="0" fillId="24" borderId="1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8" fontId="0" fillId="0" borderId="0" xfId="0" applyNumberFormat="1" applyAlignment="1">
      <alignment/>
    </xf>
    <xf numFmtId="0" fontId="0" fillId="0" borderId="10" xfId="0" applyFont="1" applyBorder="1" applyAlignment="1">
      <alignment vertical="top" wrapText="1" shrinkToFit="1"/>
    </xf>
    <xf numFmtId="3" fontId="0" fillId="24" borderId="10" xfId="0" applyNumberFormat="1" applyFont="1" applyFill="1" applyBorder="1" applyAlignment="1">
      <alignment vertical="top" wrapText="1" shrinkToFit="1"/>
    </xf>
    <xf numFmtId="0" fontId="0" fillId="24" borderId="10" xfId="0" applyFont="1" applyFill="1" applyBorder="1" applyAlignment="1">
      <alignment vertical="top" wrapText="1" shrinkToFit="1"/>
    </xf>
    <xf numFmtId="9" fontId="0" fillId="24" borderId="0" xfId="0" applyNumberFormat="1" applyFill="1" applyAlignment="1">
      <alignment/>
    </xf>
    <xf numFmtId="0" fontId="0" fillId="0" borderId="0" xfId="0" applyFont="1" applyFill="1" applyBorder="1" applyAlignment="1">
      <alignment vertical="top" wrapText="1" shrinkToFit="1"/>
    </xf>
    <xf numFmtId="0" fontId="0" fillId="0" borderId="10" xfId="0" applyFont="1" applyFill="1" applyBorder="1" applyAlignment="1">
      <alignment vertical="top" wrapText="1" shrinkToFit="1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82</xdr:row>
      <xdr:rowOff>66675</xdr:rowOff>
    </xdr:from>
    <xdr:to>
      <xdr:col>4</xdr:col>
      <xdr:colOff>38100</xdr:colOff>
      <xdr:row>85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629025" y="15011400"/>
          <a:ext cx="295275" cy="419100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85</xdr:row>
      <xdr:rowOff>0</xdr:rowOff>
    </xdr:from>
    <xdr:to>
      <xdr:col>4</xdr:col>
      <xdr:colOff>38100</xdr:colOff>
      <xdr:row>89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3619500" y="15430500"/>
          <a:ext cx="304800" cy="676275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84</xdr:row>
      <xdr:rowOff>142875</xdr:rowOff>
    </xdr:from>
    <xdr:to>
      <xdr:col>7</xdr:col>
      <xdr:colOff>600075</xdr:colOff>
      <xdr:row>87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6591300" y="15411450"/>
          <a:ext cx="419100" cy="381000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79</xdr:row>
      <xdr:rowOff>152400</xdr:rowOff>
    </xdr:from>
    <xdr:to>
      <xdr:col>8</xdr:col>
      <xdr:colOff>28575</xdr:colOff>
      <xdr:row>81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6429375" y="14611350"/>
          <a:ext cx="695325" cy="247650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77</xdr:row>
      <xdr:rowOff>152400</xdr:rowOff>
    </xdr:from>
    <xdr:to>
      <xdr:col>7</xdr:col>
      <xdr:colOff>600075</xdr:colOff>
      <xdr:row>79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6419850" y="14287500"/>
          <a:ext cx="590550" cy="304800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80</xdr:row>
      <xdr:rowOff>47625</xdr:rowOff>
    </xdr:from>
    <xdr:to>
      <xdr:col>5</xdr:col>
      <xdr:colOff>600075</xdr:colOff>
      <xdr:row>82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4953000" y="14668500"/>
          <a:ext cx="523875" cy="295275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82</xdr:row>
      <xdr:rowOff>66675</xdr:rowOff>
    </xdr:from>
    <xdr:to>
      <xdr:col>6</xdr:col>
      <xdr:colOff>9525</xdr:colOff>
      <xdr:row>86</xdr:row>
      <xdr:rowOff>38100</xdr:rowOff>
    </xdr:to>
    <xdr:sp>
      <xdr:nvSpPr>
        <xdr:cNvPr id="7" name="Line 7"/>
        <xdr:cNvSpPr>
          <a:spLocks/>
        </xdr:cNvSpPr>
      </xdr:nvSpPr>
      <xdr:spPr>
        <a:xfrm flipH="1" flipV="1">
          <a:off x="4962525" y="15011400"/>
          <a:ext cx="676275" cy="619125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87</xdr:row>
      <xdr:rowOff>47625</xdr:rowOff>
    </xdr:from>
    <xdr:to>
      <xdr:col>7</xdr:col>
      <xdr:colOff>600075</xdr:colOff>
      <xdr:row>88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6562725" y="15801975"/>
          <a:ext cx="447675" cy="219075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101</xdr:row>
      <xdr:rowOff>66675</xdr:rowOff>
    </xdr:from>
    <xdr:to>
      <xdr:col>4</xdr:col>
      <xdr:colOff>38100</xdr:colOff>
      <xdr:row>104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3629025" y="18087975"/>
          <a:ext cx="295275" cy="419100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104</xdr:row>
      <xdr:rowOff>0</xdr:rowOff>
    </xdr:from>
    <xdr:to>
      <xdr:col>4</xdr:col>
      <xdr:colOff>38100</xdr:colOff>
      <xdr:row>108</xdr:row>
      <xdr:rowOff>28575</xdr:rowOff>
    </xdr:to>
    <xdr:sp>
      <xdr:nvSpPr>
        <xdr:cNvPr id="10" name="Line 18"/>
        <xdr:cNvSpPr>
          <a:spLocks/>
        </xdr:cNvSpPr>
      </xdr:nvSpPr>
      <xdr:spPr>
        <a:xfrm flipH="1" flipV="1">
          <a:off x="3619500" y="18507075"/>
          <a:ext cx="304800" cy="676275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103</xdr:row>
      <xdr:rowOff>142875</xdr:rowOff>
    </xdr:from>
    <xdr:to>
      <xdr:col>7</xdr:col>
      <xdr:colOff>600075</xdr:colOff>
      <xdr:row>106</xdr:row>
      <xdr:rowOff>38100</xdr:rowOff>
    </xdr:to>
    <xdr:sp>
      <xdr:nvSpPr>
        <xdr:cNvPr id="11" name="Line 19"/>
        <xdr:cNvSpPr>
          <a:spLocks/>
        </xdr:cNvSpPr>
      </xdr:nvSpPr>
      <xdr:spPr>
        <a:xfrm flipV="1">
          <a:off x="6591300" y="18488025"/>
          <a:ext cx="419100" cy="381000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98</xdr:row>
      <xdr:rowOff>152400</xdr:rowOff>
    </xdr:from>
    <xdr:to>
      <xdr:col>8</xdr:col>
      <xdr:colOff>28575</xdr:colOff>
      <xdr:row>100</xdr:row>
      <xdr:rowOff>76200</xdr:rowOff>
    </xdr:to>
    <xdr:sp>
      <xdr:nvSpPr>
        <xdr:cNvPr id="12" name="Line 20"/>
        <xdr:cNvSpPr>
          <a:spLocks/>
        </xdr:cNvSpPr>
      </xdr:nvSpPr>
      <xdr:spPr>
        <a:xfrm flipH="1" flipV="1">
          <a:off x="6429375" y="17687925"/>
          <a:ext cx="695325" cy="247650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96</xdr:row>
      <xdr:rowOff>152400</xdr:rowOff>
    </xdr:from>
    <xdr:to>
      <xdr:col>7</xdr:col>
      <xdr:colOff>600075</xdr:colOff>
      <xdr:row>98</xdr:row>
      <xdr:rowOff>133350</xdr:rowOff>
    </xdr:to>
    <xdr:sp>
      <xdr:nvSpPr>
        <xdr:cNvPr id="13" name="Line 21"/>
        <xdr:cNvSpPr>
          <a:spLocks/>
        </xdr:cNvSpPr>
      </xdr:nvSpPr>
      <xdr:spPr>
        <a:xfrm flipV="1">
          <a:off x="6419850" y="17364075"/>
          <a:ext cx="590550" cy="304800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99</xdr:row>
      <xdr:rowOff>47625</xdr:rowOff>
    </xdr:from>
    <xdr:to>
      <xdr:col>5</xdr:col>
      <xdr:colOff>600075</xdr:colOff>
      <xdr:row>101</xdr:row>
      <xdr:rowOff>19050</xdr:rowOff>
    </xdr:to>
    <xdr:sp>
      <xdr:nvSpPr>
        <xdr:cNvPr id="14" name="Line 22"/>
        <xdr:cNvSpPr>
          <a:spLocks/>
        </xdr:cNvSpPr>
      </xdr:nvSpPr>
      <xdr:spPr>
        <a:xfrm flipV="1">
          <a:off x="4953000" y="17745075"/>
          <a:ext cx="523875" cy="295275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101</xdr:row>
      <xdr:rowOff>66675</xdr:rowOff>
    </xdr:from>
    <xdr:to>
      <xdr:col>6</xdr:col>
      <xdr:colOff>9525</xdr:colOff>
      <xdr:row>105</xdr:row>
      <xdr:rowOff>38100</xdr:rowOff>
    </xdr:to>
    <xdr:sp>
      <xdr:nvSpPr>
        <xdr:cNvPr id="15" name="Line 23"/>
        <xdr:cNvSpPr>
          <a:spLocks/>
        </xdr:cNvSpPr>
      </xdr:nvSpPr>
      <xdr:spPr>
        <a:xfrm flipH="1" flipV="1">
          <a:off x="4962525" y="18087975"/>
          <a:ext cx="676275" cy="619125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106</xdr:row>
      <xdr:rowOff>47625</xdr:rowOff>
    </xdr:from>
    <xdr:to>
      <xdr:col>7</xdr:col>
      <xdr:colOff>600075</xdr:colOff>
      <xdr:row>107</xdr:row>
      <xdr:rowOff>104775</xdr:rowOff>
    </xdr:to>
    <xdr:sp>
      <xdr:nvSpPr>
        <xdr:cNvPr id="16" name="Line 24"/>
        <xdr:cNvSpPr>
          <a:spLocks/>
        </xdr:cNvSpPr>
      </xdr:nvSpPr>
      <xdr:spPr>
        <a:xfrm flipH="1" flipV="1">
          <a:off x="6562725" y="18878550"/>
          <a:ext cx="447675" cy="219075"/>
        </a:xfrm>
        <a:prstGeom prst="line">
          <a:avLst/>
        </a:prstGeom>
        <a:noFill/>
        <a:ln w="31750" cmpd="sng">
          <a:solidFill>
            <a:srgbClr val="FF99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PageLayoutView="0" workbookViewId="0" topLeftCell="A1">
      <selection activeCell="I142" sqref="I142"/>
    </sheetView>
  </sheetViews>
  <sheetFormatPr defaultColWidth="9.140625" defaultRowHeight="12.75"/>
  <cols>
    <col min="1" max="1" width="30.7109375" style="0" customWidth="1"/>
    <col min="2" max="2" width="9.28125" style="0" customWidth="1"/>
    <col min="5" max="5" width="14.8515625" style="0" bestFit="1" customWidth="1"/>
    <col min="6" max="6" width="11.28125" style="0" bestFit="1" customWidth="1"/>
    <col min="7" max="7" width="11.7109375" style="0" bestFit="1" customWidth="1"/>
    <col min="8" max="8" width="10.28125" style="0" customWidth="1"/>
    <col min="9" max="9" width="13.7109375" style="0" customWidth="1"/>
    <col min="10" max="10" width="16.57421875" style="0" customWidth="1"/>
    <col min="12" max="12" width="9.8515625" style="0" customWidth="1"/>
    <col min="14" max="14" width="15.421875" style="0" customWidth="1"/>
    <col min="15" max="15" width="17.28125" style="0" customWidth="1"/>
    <col min="17" max="17" width="10.140625" style="0" bestFit="1" customWidth="1"/>
    <col min="18" max="18" width="11.140625" style="0" bestFit="1" customWidth="1"/>
  </cols>
  <sheetData>
    <row r="1" spans="1:3" ht="12.75">
      <c r="A1" s="10" t="s">
        <v>42</v>
      </c>
      <c r="B1" s="4"/>
      <c r="C1" t="s">
        <v>45</v>
      </c>
    </row>
    <row r="3" spans="1:6" ht="12.75">
      <c r="A3" s="2" t="s">
        <v>0</v>
      </c>
      <c r="B3" s="6">
        <v>5</v>
      </c>
      <c r="C3" s="2" t="s">
        <v>1</v>
      </c>
      <c r="F3" t="s">
        <v>60</v>
      </c>
    </row>
    <row r="4" spans="1:7" ht="12.75">
      <c r="A4" s="2" t="s">
        <v>8</v>
      </c>
      <c r="B4" s="6">
        <v>10</v>
      </c>
      <c r="C4" s="2" t="s">
        <v>9</v>
      </c>
      <c r="F4">
        <v>1</v>
      </c>
      <c r="G4" t="s">
        <v>61</v>
      </c>
    </row>
    <row r="5" spans="1:7" ht="12.75">
      <c r="A5" s="2" t="s">
        <v>14</v>
      </c>
      <c r="B5" s="6">
        <v>20</v>
      </c>
      <c r="C5" s="2" t="s">
        <v>15</v>
      </c>
      <c r="F5">
        <v>2</v>
      </c>
      <c r="G5" t="s">
        <v>62</v>
      </c>
    </row>
    <row r="6" spans="1:7" ht="12.75">
      <c r="A6" s="14" t="s">
        <v>52</v>
      </c>
      <c r="B6" s="6">
        <v>1</v>
      </c>
      <c r="C6" s="14" t="s">
        <v>15</v>
      </c>
      <c r="F6">
        <v>3</v>
      </c>
      <c r="G6" t="s">
        <v>63</v>
      </c>
    </row>
    <row r="7" spans="6:7" ht="12.75">
      <c r="F7">
        <v>4</v>
      </c>
      <c r="G7" t="s">
        <v>64</v>
      </c>
    </row>
    <row r="8" ht="12.75">
      <c r="A8" s="10" t="s">
        <v>40</v>
      </c>
    </row>
    <row r="9" spans="1:3" ht="12.75">
      <c r="A9" s="2" t="s">
        <v>2</v>
      </c>
      <c r="B9" s="6">
        <v>1.5</v>
      </c>
      <c r="C9" s="2" t="s">
        <v>3</v>
      </c>
    </row>
    <row r="10" spans="1:3" ht="12.75">
      <c r="A10" s="2" t="s">
        <v>10</v>
      </c>
      <c r="B10" s="6">
        <v>5</v>
      </c>
      <c r="C10" s="2" t="s">
        <v>3</v>
      </c>
    </row>
    <row r="12" ht="12.75">
      <c r="A12" s="10" t="s">
        <v>41</v>
      </c>
    </row>
    <row r="13" spans="1:3" ht="12.75">
      <c r="A13" s="2" t="s">
        <v>4</v>
      </c>
      <c r="B13" s="15">
        <v>1E-07</v>
      </c>
      <c r="C13" s="2" t="s">
        <v>5</v>
      </c>
    </row>
    <row r="14" spans="1:3" ht="12.75">
      <c r="A14" s="2" t="s">
        <v>11</v>
      </c>
      <c r="B14" s="15">
        <v>1E-06</v>
      </c>
      <c r="C14" s="2" t="s">
        <v>12</v>
      </c>
    </row>
    <row r="15" spans="1:4" ht="12.75">
      <c r="A15" s="2" t="s">
        <v>6</v>
      </c>
      <c r="B15" s="16">
        <f>D16*B13</f>
        <v>2E-07</v>
      </c>
      <c r="C15" s="2" t="s">
        <v>5</v>
      </c>
      <c r="D15" t="s">
        <v>43</v>
      </c>
    </row>
    <row r="16" spans="1:4" ht="12.75">
      <c r="A16" s="2" t="s">
        <v>13</v>
      </c>
      <c r="B16" s="16">
        <f>D16*B14</f>
        <v>2E-06</v>
      </c>
      <c r="C16" s="2" t="s">
        <v>12</v>
      </c>
      <c r="D16" s="4">
        <v>2</v>
      </c>
    </row>
    <row r="17" spans="1:3" ht="12.75">
      <c r="A17" s="2"/>
      <c r="B17" s="2"/>
      <c r="C17" s="2"/>
    </row>
    <row r="18" spans="1:3" ht="12.75">
      <c r="A18" s="2" t="s">
        <v>46</v>
      </c>
      <c r="B18" s="6">
        <v>0.0001</v>
      </c>
      <c r="C18" s="2"/>
    </row>
    <row r="19" spans="1:3" ht="12.75">
      <c r="A19" s="2" t="s">
        <v>47</v>
      </c>
      <c r="B19" s="6">
        <v>0.01</v>
      </c>
      <c r="C19" s="2"/>
    </row>
    <row r="20" spans="1:3" ht="12.75">
      <c r="A20" s="2" t="s">
        <v>48</v>
      </c>
      <c r="B20" s="6">
        <v>0.7</v>
      </c>
      <c r="C20" s="2"/>
    </row>
    <row r="21" spans="1:3" ht="12.75">
      <c r="A21" s="2" t="s">
        <v>49</v>
      </c>
      <c r="B21" s="2">
        <f>1-B20</f>
        <v>0.30000000000000004</v>
      </c>
      <c r="C21" s="2"/>
    </row>
    <row r="22" spans="1:3" ht="12.75">
      <c r="A22" s="2" t="s">
        <v>50</v>
      </c>
      <c r="B22" s="6">
        <v>0.2</v>
      </c>
      <c r="C22" s="2"/>
    </row>
    <row r="23" spans="1:14" ht="12.75">
      <c r="A23" s="2" t="s">
        <v>51</v>
      </c>
      <c r="B23" s="2">
        <f>1-B22</f>
        <v>0.8</v>
      </c>
      <c r="C23" s="2"/>
      <c r="N23" t="s">
        <v>44</v>
      </c>
    </row>
    <row r="24" spans="1:3" ht="12.75">
      <c r="A24" s="12"/>
      <c r="B24" s="12"/>
      <c r="C24" s="12"/>
    </row>
    <row r="25" spans="1:3" ht="12.75">
      <c r="A25" s="13" t="s">
        <v>74</v>
      </c>
      <c r="B25" s="12"/>
      <c r="C25" s="12"/>
    </row>
    <row r="26" spans="1:3" ht="12.75">
      <c r="A26" s="13" t="s">
        <v>73</v>
      </c>
      <c r="B26">
        <f>1-(1-B18)^B5</f>
        <v>0.0019981011395151516</v>
      </c>
      <c r="C26" s="12"/>
    </row>
    <row r="27" spans="1:3" ht="12.75">
      <c r="A27" s="13" t="s">
        <v>75</v>
      </c>
      <c r="B27" s="12">
        <f>B19^B5</f>
        <v>1.0000000000000001E-40</v>
      </c>
      <c r="C27" s="12"/>
    </row>
    <row r="29" spans="13:15" ht="12.75">
      <c r="M29" t="s">
        <v>16</v>
      </c>
      <c r="N29" s="5">
        <v>100000000</v>
      </c>
      <c r="O29" s="5">
        <v>1000000000</v>
      </c>
    </row>
    <row r="30" spans="14:18" ht="12.75">
      <c r="N30" s="2" t="s">
        <v>17</v>
      </c>
      <c r="O30" s="2" t="s">
        <v>18</v>
      </c>
      <c r="Q30" s="2" t="s">
        <v>17</v>
      </c>
      <c r="R30" s="2" t="s">
        <v>18</v>
      </c>
    </row>
    <row r="31" spans="1:18" ht="51.75">
      <c r="A31" s="11" t="s">
        <v>19</v>
      </c>
      <c r="B31" s="8" t="s">
        <v>20</v>
      </c>
      <c r="C31" s="8" t="s">
        <v>21</v>
      </c>
      <c r="D31" s="8" t="s">
        <v>22</v>
      </c>
      <c r="E31" s="8" t="s">
        <v>23</v>
      </c>
      <c r="F31" s="8" t="s">
        <v>24</v>
      </c>
      <c r="G31" s="8" t="s">
        <v>25</v>
      </c>
      <c r="H31" s="8" t="s">
        <v>26</v>
      </c>
      <c r="I31" s="8" t="s">
        <v>27</v>
      </c>
      <c r="J31" s="8" t="s">
        <v>28</v>
      </c>
      <c r="K31" s="8" t="s">
        <v>29</v>
      </c>
      <c r="L31" s="8" t="s">
        <v>30</v>
      </c>
      <c r="M31" s="9"/>
      <c r="N31" s="8" t="s">
        <v>31</v>
      </c>
      <c r="O31" s="8" t="s">
        <v>31</v>
      </c>
      <c r="Q31" s="8" t="s">
        <v>92</v>
      </c>
      <c r="R31" s="8" t="s">
        <v>93</v>
      </c>
    </row>
    <row r="32" spans="1:18" ht="15.75">
      <c r="A32" s="11" t="s">
        <v>32</v>
      </c>
      <c r="B32" s="6">
        <v>300</v>
      </c>
      <c r="C32" s="6">
        <v>1.1</v>
      </c>
      <c r="D32" s="2">
        <f>B32*C32</f>
        <v>330</v>
      </c>
      <c r="E32" s="6">
        <v>1</v>
      </c>
      <c r="F32" s="2">
        <f>E32*2*$B$3</f>
        <v>10</v>
      </c>
      <c r="G32" s="2">
        <f>B32-F32</f>
        <v>290</v>
      </c>
      <c r="H32" s="2">
        <f>D32-F32</f>
        <v>320</v>
      </c>
      <c r="I32" s="6">
        <v>2600</v>
      </c>
      <c r="J32" s="2">
        <f>I32/$B$4</f>
        <v>260</v>
      </c>
      <c r="K32" s="2">
        <f>J32/$B$5</f>
        <v>13</v>
      </c>
      <c r="L32" s="7">
        <v>300000</v>
      </c>
      <c r="N32" s="3">
        <f aca="true" t="shared" si="0" ref="N32:N39">$N$29*(L32/$O$41)^2</f>
        <v>900000000</v>
      </c>
      <c r="O32" s="3">
        <f aca="true" t="shared" si="1" ref="O32:O39">$O$29*(L32/$O$41)^3</f>
        <v>27000000000</v>
      </c>
      <c r="Q32" s="22">
        <v>10000000</v>
      </c>
      <c r="R32" s="22">
        <v>100000000</v>
      </c>
    </row>
    <row r="33" spans="1:15" ht="15.75">
      <c r="A33" s="11" t="s">
        <v>33</v>
      </c>
      <c r="B33" s="6">
        <v>150</v>
      </c>
      <c r="C33" s="6">
        <v>1.2</v>
      </c>
      <c r="D33" s="2">
        <f aca="true" t="shared" si="2" ref="D33:D39">B33*C33</f>
        <v>180</v>
      </c>
      <c r="E33" s="6">
        <v>3</v>
      </c>
      <c r="F33" s="2">
        <f aca="true" t="shared" si="3" ref="F33:F39">E33*2*$B$3</f>
        <v>30</v>
      </c>
      <c r="G33" s="2">
        <f aca="true" t="shared" si="4" ref="G33:G39">B33-F33</f>
        <v>120</v>
      </c>
      <c r="H33" s="2">
        <f aca="true" t="shared" si="5" ref="H33:H39">D33-F33</f>
        <v>150</v>
      </c>
      <c r="I33" s="6">
        <v>3000</v>
      </c>
      <c r="J33" s="2">
        <f aca="true" t="shared" si="6" ref="J33:J39">I33/$B$4</f>
        <v>300</v>
      </c>
      <c r="K33" s="2">
        <f aca="true" t="shared" si="7" ref="K33:K38">J33/$B$5</f>
        <v>15</v>
      </c>
      <c r="L33" s="7">
        <v>100000</v>
      </c>
      <c r="N33" s="3">
        <f t="shared" si="0"/>
        <v>100000000</v>
      </c>
      <c r="O33" s="3">
        <f t="shared" si="1"/>
        <v>1000000000</v>
      </c>
    </row>
    <row r="34" spans="1:15" ht="15.75">
      <c r="A34" s="11" t="s">
        <v>34</v>
      </c>
      <c r="B34" s="6">
        <v>350</v>
      </c>
      <c r="C34" s="6">
        <v>0.9</v>
      </c>
      <c r="D34" s="2">
        <f>B34*C34</f>
        <v>315</v>
      </c>
      <c r="E34" s="6">
        <v>1</v>
      </c>
      <c r="F34" s="2">
        <f t="shared" si="3"/>
        <v>10</v>
      </c>
      <c r="G34" s="2">
        <f>B34-F34</f>
        <v>340</v>
      </c>
      <c r="H34" s="2">
        <f t="shared" si="5"/>
        <v>305</v>
      </c>
      <c r="I34" s="6">
        <v>4600</v>
      </c>
      <c r="J34" s="2">
        <f t="shared" si="6"/>
        <v>460</v>
      </c>
      <c r="K34" s="2">
        <f t="shared" si="7"/>
        <v>23</v>
      </c>
      <c r="L34" s="7">
        <v>50000</v>
      </c>
      <c r="N34" s="3">
        <f t="shared" si="0"/>
        <v>25000000</v>
      </c>
      <c r="O34" s="3">
        <f t="shared" si="1"/>
        <v>125000000</v>
      </c>
    </row>
    <row r="35" spans="1:15" ht="15.75">
      <c r="A35" s="11" t="s">
        <v>35</v>
      </c>
      <c r="B35" s="6">
        <v>150</v>
      </c>
      <c r="C35" s="6">
        <v>1</v>
      </c>
      <c r="D35" s="2">
        <f t="shared" si="2"/>
        <v>150</v>
      </c>
      <c r="E35" s="6">
        <v>3</v>
      </c>
      <c r="F35" s="2">
        <f t="shared" si="3"/>
        <v>30</v>
      </c>
      <c r="G35" s="2">
        <f t="shared" si="4"/>
        <v>120</v>
      </c>
      <c r="H35" s="2">
        <f t="shared" si="5"/>
        <v>120</v>
      </c>
      <c r="I35" s="6">
        <v>1000</v>
      </c>
      <c r="J35" s="2">
        <f t="shared" si="6"/>
        <v>100</v>
      </c>
      <c r="K35" s="2">
        <f t="shared" si="7"/>
        <v>5</v>
      </c>
      <c r="L35" s="7">
        <v>75000</v>
      </c>
      <c r="N35" s="3">
        <f t="shared" si="0"/>
        <v>56250000</v>
      </c>
      <c r="O35" s="3">
        <f t="shared" si="1"/>
        <v>421875000</v>
      </c>
    </row>
    <row r="36" spans="1:15" ht="15.75">
      <c r="A36" s="11" t="s">
        <v>36</v>
      </c>
      <c r="B36" s="6">
        <v>200</v>
      </c>
      <c r="C36" s="6">
        <v>1.3</v>
      </c>
      <c r="D36" s="2">
        <f t="shared" si="2"/>
        <v>260</v>
      </c>
      <c r="E36" s="6">
        <v>1</v>
      </c>
      <c r="F36" s="2">
        <f t="shared" si="3"/>
        <v>10</v>
      </c>
      <c r="G36" s="2">
        <f t="shared" si="4"/>
        <v>190</v>
      </c>
      <c r="H36" s="2">
        <f t="shared" si="5"/>
        <v>250</v>
      </c>
      <c r="I36" s="6">
        <v>4000</v>
      </c>
      <c r="J36" s="2">
        <f t="shared" si="6"/>
        <v>400</v>
      </c>
      <c r="K36" s="2">
        <f t="shared" si="7"/>
        <v>20</v>
      </c>
      <c r="L36" s="7">
        <v>50000</v>
      </c>
      <c r="N36" s="3">
        <f t="shared" si="0"/>
        <v>25000000</v>
      </c>
      <c r="O36" s="3">
        <f t="shared" si="1"/>
        <v>125000000</v>
      </c>
    </row>
    <row r="37" spans="1:15" ht="15.75">
      <c r="A37" s="11" t="s">
        <v>37</v>
      </c>
      <c r="B37" s="6">
        <v>300</v>
      </c>
      <c r="C37" s="6">
        <v>0.8</v>
      </c>
      <c r="D37" s="2">
        <f t="shared" si="2"/>
        <v>240</v>
      </c>
      <c r="E37" s="6">
        <v>1</v>
      </c>
      <c r="F37" s="2">
        <f t="shared" si="3"/>
        <v>10</v>
      </c>
      <c r="G37" s="2">
        <f t="shared" si="4"/>
        <v>290</v>
      </c>
      <c r="H37" s="2">
        <f t="shared" si="5"/>
        <v>230</v>
      </c>
      <c r="I37" s="6">
        <v>5000</v>
      </c>
      <c r="J37" s="2">
        <f t="shared" si="6"/>
        <v>500</v>
      </c>
      <c r="K37" s="2">
        <f t="shared" si="7"/>
        <v>25</v>
      </c>
      <c r="L37" s="7">
        <v>1000000</v>
      </c>
      <c r="N37" s="3">
        <f t="shared" si="0"/>
        <v>10000000000</v>
      </c>
      <c r="O37" s="3">
        <f t="shared" si="1"/>
        <v>1000000000000</v>
      </c>
    </row>
    <row r="38" spans="1:15" ht="15.75">
      <c r="A38" s="11" t="s">
        <v>38</v>
      </c>
      <c r="B38" s="6">
        <v>1000</v>
      </c>
      <c r="C38" s="6">
        <v>1.1</v>
      </c>
      <c r="D38" s="2">
        <f t="shared" si="2"/>
        <v>1100</v>
      </c>
      <c r="E38" s="6">
        <v>4</v>
      </c>
      <c r="F38" s="2">
        <f t="shared" si="3"/>
        <v>40</v>
      </c>
      <c r="G38" s="2">
        <f t="shared" si="4"/>
        <v>960</v>
      </c>
      <c r="H38" s="2">
        <f>D38-F38</f>
        <v>1060</v>
      </c>
      <c r="I38" s="2">
        <f>SUM(I35:I37)</f>
        <v>10000</v>
      </c>
      <c r="J38" s="2">
        <f t="shared" si="6"/>
        <v>1000</v>
      </c>
      <c r="K38" s="2">
        <f t="shared" si="7"/>
        <v>50</v>
      </c>
      <c r="L38" s="7">
        <v>100000</v>
      </c>
      <c r="N38" s="3">
        <f t="shared" si="0"/>
        <v>100000000</v>
      </c>
      <c r="O38" s="3">
        <f t="shared" si="1"/>
        <v>1000000000</v>
      </c>
    </row>
    <row r="39" spans="1:15" ht="15.75">
      <c r="A39" s="11" t="s">
        <v>39</v>
      </c>
      <c r="B39" s="6">
        <v>1500</v>
      </c>
      <c r="C39" s="6">
        <v>1.1</v>
      </c>
      <c r="D39" s="2">
        <f t="shared" si="2"/>
        <v>1650.0000000000002</v>
      </c>
      <c r="E39" s="6">
        <v>5</v>
      </c>
      <c r="F39" s="2">
        <f t="shared" si="3"/>
        <v>50</v>
      </c>
      <c r="G39" s="2">
        <f t="shared" si="4"/>
        <v>1450</v>
      </c>
      <c r="H39" s="2">
        <f t="shared" si="5"/>
        <v>1600.0000000000002</v>
      </c>
      <c r="I39" s="2">
        <f>I38+SUM(I32:I34)</f>
        <v>20200</v>
      </c>
      <c r="J39" s="2">
        <f t="shared" si="6"/>
        <v>2020</v>
      </c>
      <c r="K39" s="2">
        <f>J39/$B$5</f>
        <v>101</v>
      </c>
      <c r="L39" s="7">
        <v>50000</v>
      </c>
      <c r="N39" s="3">
        <f t="shared" si="0"/>
        <v>25000000</v>
      </c>
      <c r="O39" s="3">
        <f t="shared" si="1"/>
        <v>125000000</v>
      </c>
    </row>
    <row r="41" spans="14:15" ht="12.75">
      <c r="N41" t="s">
        <v>7</v>
      </c>
      <c r="O41" s="4">
        <v>100000</v>
      </c>
    </row>
    <row r="42" spans="6:9" ht="30" customHeight="1">
      <c r="F42" s="40" t="s">
        <v>90</v>
      </c>
      <c r="G42" s="40"/>
      <c r="I42" t="s">
        <v>94</v>
      </c>
    </row>
    <row r="43" spans="3:14" s="9" customFormat="1" ht="63.75">
      <c r="C43" s="9" t="s">
        <v>67</v>
      </c>
      <c r="D43" s="9" t="s">
        <v>68</v>
      </c>
      <c r="F43" s="9" t="s">
        <v>71</v>
      </c>
      <c r="G43" s="9" t="s">
        <v>72</v>
      </c>
      <c r="I43" t="s">
        <v>17</v>
      </c>
      <c r="J43" t="s">
        <v>18</v>
      </c>
      <c r="N43" s="9" t="s">
        <v>120</v>
      </c>
    </row>
    <row r="44" spans="1:14" ht="12.75">
      <c r="A44" t="s">
        <v>65</v>
      </c>
      <c r="C44" t="s">
        <v>54</v>
      </c>
      <c r="D44" t="s">
        <v>55</v>
      </c>
      <c r="N44" t="s">
        <v>121</v>
      </c>
    </row>
    <row r="45" spans="2:14" ht="12.75">
      <c r="B45" t="s">
        <v>32</v>
      </c>
      <c r="C45">
        <f aca="true" t="shared" si="8" ref="C45:C50">K32*H32</f>
        <v>4160</v>
      </c>
      <c r="D45">
        <f aca="true" t="shared" si="9" ref="D45:D50">K32*F32</f>
        <v>130</v>
      </c>
      <c r="F45" s="17">
        <f aca="true" t="shared" si="10" ref="F45:F51">C45*$B$13</f>
        <v>0.000416</v>
      </c>
      <c r="G45" s="17">
        <f aca="true" t="shared" si="11" ref="G45:G51">D45*$B$15</f>
        <v>2.6E-05</v>
      </c>
      <c r="I45" s="1">
        <f aca="true" t="shared" si="12" ref="I45:I50">D45/$D$51*N32</f>
        <v>82978723.40425532</v>
      </c>
      <c r="J45" s="1">
        <f aca="true" t="shared" si="13" ref="J45:J50">D45/$D$51*O32</f>
        <v>2489361702.1276593</v>
      </c>
      <c r="N45" s="1">
        <f aca="true" t="shared" si="14" ref="N45:N50">(C45+D45)*$B$9*$B$5</f>
        <v>128700</v>
      </c>
    </row>
    <row r="46" spans="2:14" ht="12.75">
      <c r="B46" t="s">
        <v>33</v>
      </c>
      <c r="C46">
        <f t="shared" si="8"/>
        <v>2250</v>
      </c>
      <c r="D46">
        <f t="shared" si="9"/>
        <v>450</v>
      </c>
      <c r="F46" s="17">
        <f t="shared" si="10"/>
        <v>0.000225</v>
      </c>
      <c r="G46" s="17">
        <f t="shared" si="11"/>
        <v>8.999999999999999E-05</v>
      </c>
      <c r="I46" s="1">
        <f t="shared" si="12"/>
        <v>31914893.617021278</v>
      </c>
      <c r="J46" s="1">
        <f t="shared" si="13"/>
        <v>319148936.1702128</v>
      </c>
      <c r="N46" s="1">
        <f t="shared" si="14"/>
        <v>81000</v>
      </c>
    </row>
    <row r="47" spans="2:14" ht="12.75">
      <c r="B47" t="s">
        <v>34</v>
      </c>
      <c r="C47">
        <f t="shared" si="8"/>
        <v>7015</v>
      </c>
      <c r="D47">
        <f t="shared" si="9"/>
        <v>230</v>
      </c>
      <c r="F47" s="17">
        <f t="shared" si="10"/>
        <v>0.0007015</v>
      </c>
      <c r="G47" s="17">
        <f t="shared" si="11"/>
        <v>4.6E-05</v>
      </c>
      <c r="I47" s="1">
        <f t="shared" si="12"/>
        <v>4078014.1843971633</v>
      </c>
      <c r="J47" s="1">
        <f t="shared" si="13"/>
        <v>20390070.921985816</v>
      </c>
      <c r="N47" s="1">
        <f t="shared" si="14"/>
        <v>217350</v>
      </c>
    </row>
    <row r="48" spans="2:14" ht="12.75">
      <c r="B48" t="s">
        <v>35</v>
      </c>
      <c r="C48">
        <f t="shared" si="8"/>
        <v>600</v>
      </c>
      <c r="D48">
        <f t="shared" si="9"/>
        <v>150</v>
      </c>
      <c r="F48" s="17">
        <f t="shared" si="10"/>
        <v>5.9999999999999995E-05</v>
      </c>
      <c r="G48" s="17">
        <f t="shared" si="11"/>
        <v>2.9999999999999997E-05</v>
      </c>
      <c r="I48" s="1">
        <f t="shared" si="12"/>
        <v>5984042.55319149</v>
      </c>
      <c r="J48" s="1">
        <f t="shared" si="13"/>
        <v>44880319.14893617</v>
      </c>
      <c r="N48" s="1">
        <f t="shared" si="14"/>
        <v>22500</v>
      </c>
    </row>
    <row r="49" spans="2:14" ht="12.75">
      <c r="B49" t="s">
        <v>36</v>
      </c>
      <c r="C49">
        <f t="shared" si="8"/>
        <v>5000</v>
      </c>
      <c r="D49">
        <f t="shared" si="9"/>
        <v>200</v>
      </c>
      <c r="F49" s="17">
        <f t="shared" si="10"/>
        <v>0.0005</v>
      </c>
      <c r="G49" s="17">
        <f t="shared" si="11"/>
        <v>3.9999999999999996E-05</v>
      </c>
      <c r="I49" s="1">
        <f t="shared" si="12"/>
        <v>3546099.290780142</v>
      </c>
      <c r="J49" s="1">
        <f t="shared" si="13"/>
        <v>17730496.45390071</v>
      </c>
      <c r="N49" s="1">
        <f t="shared" si="14"/>
        <v>156000</v>
      </c>
    </row>
    <row r="50" spans="2:14" ht="12.75">
      <c r="B50" t="s">
        <v>37</v>
      </c>
      <c r="C50">
        <f t="shared" si="8"/>
        <v>5750</v>
      </c>
      <c r="D50">
        <f t="shared" si="9"/>
        <v>250</v>
      </c>
      <c r="F50" s="17">
        <f t="shared" si="10"/>
        <v>0.000575</v>
      </c>
      <c r="G50" s="17">
        <f t="shared" si="11"/>
        <v>4.9999999999999996E-05</v>
      </c>
      <c r="I50" s="1">
        <f t="shared" si="12"/>
        <v>1773049645.390071</v>
      </c>
      <c r="J50" s="1">
        <f t="shared" si="13"/>
        <v>177304964539.0071</v>
      </c>
      <c r="N50" s="1">
        <f t="shared" si="14"/>
        <v>180000</v>
      </c>
    </row>
    <row r="51" spans="2:14" ht="12.75">
      <c r="B51" s="10" t="s">
        <v>56</v>
      </c>
      <c r="C51" s="10">
        <f>SUM(C45:C50)</f>
        <v>24775</v>
      </c>
      <c r="D51" s="10">
        <f>SUM(D45:D50)</f>
        <v>1410</v>
      </c>
      <c r="E51" s="10"/>
      <c r="F51" s="23">
        <f t="shared" si="10"/>
        <v>0.0024775</v>
      </c>
      <c r="G51" s="23">
        <f t="shared" si="11"/>
        <v>0.00028199999999999997</v>
      </c>
      <c r="H51" s="10"/>
      <c r="I51" s="24">
        <f>SUM(I45:I50)</f>
        <v>1901551418.4397163</v>
      </c>
      <c r="J51" s="24">
        <f>SUM(J45:J50)</f>
        <v>180196476063.8298</v>
      </c>
      <c r="N51" s="24">
        <f>SUM(N45:N50)</f>
        <v>785550</v>
      </c>
    </row>
    <row r="52" spans="6:7" ht="12.75">
      <c r="F52" s="17"/>
      <c r="G52" s="17"/>
    </row>
    <row r="53" spans="1:7" ht="12.75">
      <c r="A53" t="s">
        <v>66</v>
      </c>
      <c r="C53" t="s">
        <v>58</v>
      </c>
      <c r="D53" t="s">
        <v>59</v>
      </c>
      <c r="F53" s="17"/>
      <c r="G53" s="17"/>
    </row>
    <row r="54" spans="2:14" ht="12.75">
      <c r="B54" t="s">
        <v>32</v>
      </c>
      <c r="C54">
        <f aca="true" t="shared" si="15" ref="C54:C59">J32*G32</f>
        <v>75400</v>
      </c>
      <c r="D54">
        <f aca="true" t="shared" si="16" ref="D54:D59">J32*F32</f>
        <v>2600</v>
      </c>
      <c r="F54" s="17">
        <f aca="true" t="shared" si="17" ref="F54:F60">C54*$B$14</f>
        <v>0.0754</v>
      </c>
      <c r="G54" s="17">
        <f aca="true" t="shared" si="18" ref="G54:G60">D54*$B$16</f>
        <v>0.0052</v>
      </c>
      <c r="N54" s="1">
        <f aca="true" t="shared" si="19" ref="N54:N59">(C54+D54)*$B$10*$B$6</f>
        <v>390000</v>
      </c>
    </row>
    <row r="55" spans="2:14" ht="12.75">
      <c r="B55" t="s">
        <v>33</v>
      </c>
      <c r="C55">
        <f t="shared" si="15"/>
        <v>36000</v>
      </c>
      <c r="D55">
        <f t="shared" si="16"/>
        <v>9000</v>
      </c>
      <c r="F55" s="17">
        <f t="shared" si="17"/>
        <v>0.036</v>
      </c>
      <c r="G55" s="17">
        <f t="shared" si="18"/>
        <v>0.018</v>
      </c>
      <c r="N55" s="1">
        <f t="shared" si="19"/>
        <v>225000</v>
      </c>
    </row>
    <row r="56" spans="2:14" ht="12.75">
      <c r="B56" t="s">
        <v>34</v>
      </c>
      <c r="C56">
        <f t="shared" si="15"/>
        <v>156400</v>
      </c>
      <c r="D56">
        <f t="shared" si="16"/>
        <v>4600</v>
      </c>
      <c r="F56" s="17">
        <f t="shared" si="17"/>
        <v>0.15639999999999998</v>
      </c>
      <c r="G56" s="17">
        <f t="shared" si="18"/>
        <v>0.0092</v>
      </c>
      <c r="N56" s="1">
        <f t="shared" si="19"/>
        <v>805000</v>
      </c>
    </row>
    <row r="57" spans="2:14" ht="12.75">
      <c r="B57" t="s">
        <v>35</v>
      </c>
      <c r="C57">
        <f t="shared" si="15"/>
        <v>12000</v>
      </c>
      <c r="D57">
        <f t="shared" si="16"/>
        <v>3000</v>
      </c>
      <c r="F57" s="17">
        <f t="shared" si="17"/>
        <v>0.012</v>
      </c>
      <c r="G57" s="17">
        <f t="shared" si="18"/>
        <v>0.006</v>
      </c>
      <c r="N57" s="1">
        <f t="shared" si="19"/>
        <v>75000</v>
      </c>
    </row>
    <row r="58" spans="2:14" ht="12.75">
      <c r="B58" t="s">
        <v>36</v>
      </c>
      <c r="C58">
        <f t="shared" si="15"/>
        <v>76000</v>
      </c>
      <c r="D58">
        <f t="shared" si="16"/>
        <v>4000</v>
      </c>
      <c r="F58" s="17">
        <f t="shared" si="17"/>
        <v>0.076</v>
      </c>
      <c r="G58" s="17">
        <f t="shared" si="18"/>
        <v>0.008</v>
      </c>
      <c r="N58" s="1">
        <f t="shared" si="19"/>
        <v>400000</v>
      </c>
    </row>
    <row r="59" spans="2:14" ht="12.75">
      <c r="B59" t="s">
        <v>37</v>
      </c>
      <c r="C59">
        <f t="shared" si="15"/>
        <v>145000</v>
      </c>
      <c r="D59">
        <f t="shared" si="16"/>
        <v>5000</v>
      </c>
      <c r="F59" s="17">
        <f t="shared" si="17"/>
        <v>0.145</v>
      </c>
      <c r="G59" s="17">
        <f t="shared" si="18"/>
        <v>0.01</v>
      </c>
      <c r="N59" s="1">
        <f t="shared" si="19"/>
        <v>750000</v>
      </c>
    </row>
    <row r="60" spans="2:14" ht="12.75">
      <c r="B60" s="10" t="s">
        <v>56</v>
      </c>
      <c r="C60" s="10">
        <f>SUM(C54:C59)</f>
        <v>500800</v>
      </c>
      <c r="D60" s="10">
        <f>SUM(D54:D59)</f>
        <v>28200</v>
      </c>
      <c r="E60" s="10"/>
      <c r="F60" s="23">
        <f t="shared" si="17"/>
        <v>0.5008</v>
      </c>
      <c r="G60" s="23">
        <f t="shared" si="18"/>
        <v>0.0564</v>
      </c>
      <c r="N60" s="24">
        <f>SUM(N54:N59)</f>
        <v>2645000</v>
      </c>
    </row>
    <row r="61" spans="6:7" ht="12.75">
      <c r="F61" s="17"/>
      <c r="G61" s="17"/>
    </row>
    <row r="62" spans="6:7" ht="12.75">
      <c r="F62" s="17"/>
      <c r="G62" s="17"/>
    </row>
    <row r="63" spans="1:7" ht="12.75">
      <c r="A63" t="s">
        <v>63</v>
      </c>
      <c r="F63" s="17"/>
      <c r="G63" s="17"/>
    </row>
    <row r="64" spans="2:7" ht="12.75">
      <c r="B64" t="s">
        <v>69</v>
      </c>
      <c r="C64">
        <f>C51</f>
        <v>24775</v>
      </c>
      <c r="D64">
        <f>D51</f>
        <v>1410</v>
      </c>
      <c r="F64" s="17"/>
      <c r="G64" s="17"/>
    </row>
    <row r="65" spans="2:14" ht="12.75">
      <c r="B65" t="s">
        <v>38</v>
      </c>
      <c r="C65">
        <f>K38*H38</f>
        <v>53000</v>
      </c>
      <c r="D65">
        <f>K38*F38</f>
        <v>2000</v>
      </c>
      <c r="F65" s="17">
        <f>C65*$B$13</f>
        <v>0.0053</v>
      </c>
      <c r="G65" s="17">
        <f>D65*$B$15</f>
        <v>0.00039999999999999996</v>
      </c>
      <c r="I65" s="1">
        <f>D65/$D$67*N38</f>
        <v>28368794.326241136</v>
      </c>
      <c r="J65" s="1">
        <f>D65/$D$67*O38</f>
        <v>283687943.26241136</v>
      </c>
      <c r="N65" s="1">
        <f>(C65+D65)*$B$9*$B$5</f>
        <v>1650000</v>
      </c>
    </row>
    <row r="66" spans="2:14" ht="12.75">
      <c r="B66" t="s">
        <v>39</v>
      </c>
      <c r="C66">
        <f>K39*H39</f>
        <v>161600.00000000003</v>
      </c>
      <c r="D66">
        <f>K39*F39</f>
        <v>5050</v>
      </c>
      <c r="F66" s="17">
        <f>C66*$B$13</f>
        <v>0.01616</v>
      </c>
      <c r="G66" s="17">
        <f>D66*$B$15</f>
        <v>0.00101</v>
      </c>
      <c r="I66" s="1">
        <f>D66/$D$67*N39</f>
        <v>17907801.418439716</v>
      </c>
      <c r="J66" s="1">
        <f>D66/$D$67*O39</f>
        <v>89539007.09219858</v>
      </c>
      <c r="N66" s="1">
        <f>(C66+D66)*$B$9*$B$5</f>
        <v>4999500.000000001</v>
      </c>
    </row>
    <row r="67" spans="2:14" ht="12.75">
      <c r="B67" t="s">
        <v>76</v>
      </c>
      <c r="C67">
        <f>SUM(C65:C66)</f>
        <v>214600.00000000003</v>
      </c>
      <c r="D67">
        <f>SUM(D65:D66)</f>
        <v>7050</v>
      </c>
      <c r="F67" s="17">
        <f>C67*$B$13</f>
        <v>0.021460000000000003</v>
      </c>
      <c r="G67" s="17">
        <f>D67*$B$15</f>
        <v>0.00141</v>
      </c>
      <c r="I67" s="24">
        <f>I65+I66</f>
        <v>46276595.74468085</v>
      </c>
      <c r="J67" s="24">
        <f>J65+J66</f>
        <v>373226950.35460997</v>
      </c>
      <c r="N67" s="24">
        <f>N65+N66</f>
        <v>6649500.000000001</v>
      </c>
    </row>
    <row r="68" spans="2:14" ht="12.75">
      <c r="B68" s="10" t="s">
        <v>56</v>
      </c>
      <c r="C68" s="10">
        <f>SUM(C64:C66)</f>
        <v>239375.00000000003</v>
      </c>
      <c r="D68" s="10">
        <f>SUM(D64:D66)</f>
        <v>8460</v>
      </c>
      <c r="E68" s="10"/>
      <c r="F68" s="23">
        <f>C68*$B$13</f>
        <v>0.0239375</v>
      </c>
      <c r="G68" s="23">
        <f>D68*$B$15</f>
        <v>0.001692</v>
      </c>
      <c r="I68" s="24">
        <f>I51+I67</f>
        <v>1947828014.1843972</v>
      </c>
      <c r="J68" s="24">
        <f>J51+J67</f>
        <v>180569703014.18442</v>
      </c>
      <c r="N68" s="24">
        <f>N67+N51</f>
        <v>7435050.000000001</v>
      </c>
    </row>
    <row r="69" spans="6:7" ht="12.75">
      <c r="F69" s="17"/>
      <c r="G69" s="17"/>
    </row>
    <row r="70" spans="1:7" ht="12.75">
      <c r="A70" t="s">
        <v>64</v>
      </c>
      <c r="B70" t="s">
        <v>70</v>
      </c>
      <c r="C70">
        <f>C60</f>
        <v>500800</v>
      </c>
      <c r="D70">
        <f>D60</f>
        <v>28200</v>
      </c>
      <c r="F70" s="17"/>
      <c r="G70" s="17"/>
    </row>
    <row r="71" spans="2:14" ht="12.75">
      <c r="B71" t="s">
        <v>38</v>
      </c>
      <c r="C71">
        <f>J38*G38</f>
        <v>960000</v>
      </c>
      <c r="D71">
        <f>J38*F38</f>
        <v>40000</v>
      </c>
      <c r="F71" s="17">
        <f>C71*$B$14</f>
        <v>0.96</v>
      </c>
      <c r="G71" s="17">
        <f>D71*$B$16</f>
        <v>0.08</v>
      </c>
      <c r="N71" s="1">
        <f>(C71+D71)*$B$10*$B$6</f>
        <v>5000000</v>
      </c>
    </row>
    <row r="72" spans="2:14" ht="12.75">
      <c r="B72" t="s">
        <v>39</v>
      </c>
      <c r="C72">
        <f>J39*G39</f>
        <v>2929000</v>
      </c>
      <c r="D72">
        <f>J39*F39</f>
        <v>101000</v>
      </c>
      <c r="F72" s="17">
        <f>C72*$B$14</f>
        <v>2.929</v>
      </c>
      <c r="G72" s="17">
        <f>D72*$B$16</f>
        <v>0.20199999999999999</v>
      </c>
      <c r="N72" s="1">
        <f>(C72+D72)*$B$10*$B$6</f>
        <v>15150000</v>
      </c>
    </row>
    <row r="73" spans="2:14" ht="12.75">
      <c r="B73" t="s">
        <v>76</v>
      </c>
      <c r="C73">
        <f>SUM(C71:C72)</f>
        <v>3889000</v>
      </c>
      <c r="D73">
        <f>SUM(D71:D72)</f>
        <v>141000</v>
      </c>
      <c r="F73" s="17">
        <f>C73*$B$14</f>
        <v>3.889</v>
      </c>
      <c r="G73" s="17">
        <f>D73*$B$16</f>
        <v>0.282</v>
      </c>
      <c r="N73" s="24">
        <f>N71+N72</f>
        <v>20150000</v>
      </c>
    </row>
    <row r="74" spans="2:14" ht="12.75">
      <c r="B74" s="10" t="s">
        <v>56</v>
      </c>
      <c r="C74" s="10">
        <f>SUM(C70:C72)</f>
        <v>4389800</v>
      </c>
      <c r="D74" s="10">
        <f>SUM(D70:D72)</f>
        <v>169200</v>
      </c>
      <c r="E74" s="10"/>
      <c r="F74" s="23">
        <f>C74*$B$14</f>
        <v>4.3898</v>
      </c>
      <c r="G74" s="23">
        <f>D74*$B$16</f>
        <v>0.3384</v>
      </c>
      <c r="N74" s="24">
        <f>N73+N60</f>
        <v>22795000</v>
      </c>
    </row>
    <row r="75" spans="2:7" ht="12.75">
      <c r="B75" s="10"/>
      <c r="F75" s="17"/>
      <c r="G75" s="17"/>
    </row>
    <row r="77" ht="12.75">
      <c r="J77" t="s">
        <v>84</v>
      </c>
    </row>
    <row r="78" spans="5:9" ht="12.75">
      <c r="E78" s="18"/>
      <c r="F78" s="18"/>
      <c r="G78" s="18"/>
      <c r="H78" s="18"/>
      <c r="I78" s="18" t="s">
        <v>82</v>
      </c>
    </row>
    <row r="79" spans="5:10" ht="12.75">
      <c r="E79" s="18"/>
      <c r="F79" s="18"/>
      <c r="G79" s="18"/>
      <c r="H79" s="18"/>
      <c r="I79" s="18">
        <f>$B$22</f>
        <v>0.2</v>
      </c>
      <c r="J79" s="18">
        <f>I79*G81*E83</f>
        <v>3.9962022790303037E-44</v>
      </c>
    </row>
    <row r="80" spans="5:9" ht="12.75">
      <c r="E80" s="18"/>
      <c r="F80" s="18"/>
      <c r="G80" s="18" t="s">
        <v>80</v>
      </c>
      <c r="H80" s="18"/>
      <c r="I80" s="18"/>
    </row>
    <row r="81" spans="5:9" ht="12.75">
      <c r="E81" s="18"/>
      <c r="F81" s="18"/>
      <c r="G81" s="18">
        <f>$B$27</f>
        <v>1.0000000000000001E-40</v>
      </c>
      <c r="H81" s="18"/>
      <c r="I81" s="18"/>
    </row>
    <row r="82" spans="5:9" ht="12.75">
      <c r="E82" s="18" t="s">
        <v>77</v>
      </c>
      <c r="F82" s="18"/>
      <c r="G82" s="18"/>
      <c r="H82" s="18"/>
      <c r="I82" s="18" t="s">
        <v>83</v>
      </c>
    </row>
    <row r="83" spans="5:10" ht="12.75">
      <c r="E83" s="18">
        <f>$B$26</f>
        <v>0.0019981011395151516</v>
      </c>
      <c r="F83" s="18"/>
      <c r="G83" s="18"/>
      <c r="H83" s="18"/>
      <c r="I83" s="18">
        <f>$B$23</f>
        <v>0.8</v>
      </c>
      <c r="J83" s="18">
        <f>I83*G81*E83</f>
        <v>1.5984809116121215E-43</v>
      </c>
    </row>
    <row r="84" spans="1:9" ht="12.75">
      <c r="A84" t="s">
        <v>85</v>
      </c>
      <c r="E84" s="18"/>
      <c r="F84" s="18"/>
      <c r="G84" s="18"/>
      <c r="H84" s="18"/>
      <c r="I84" s="18"/>
    </row>
    <row r="85" spans="1:9" ht="12.75">
      <c r="A85" t="s">
        <v>53</v>
      </c>
      <c r="B85" t="s">
        <v>86</v>
      </c>
      <c r="E85" s="18"/>
      <c r="F85" s="18"/>
      <c r="G85" s="18"/>
      <c r="H85" s="18"/>
      <c r="I85" s="18" t="s">
        <v>82</v>
      </c>
    </row>
    <row r="86" spans="5:10" ht="12.75">
      <c r="E86" s="18"/>
      <c r="F86" s="18"/>
      <c r="G86" s="18"/>
      <c r="H86" s="18"/>
      <c r="I86" s="18">
        <f>$B$20</f>
        <v>0.7</v>
      </c>
      <c r="J86" s="19">
        <f>I86*G88*E83</f>
        <v>0.001398670797660606</v>
      </c>
    </row>
    <row r="87" spans="5:8" ht="12.75">
      <c r="E87" s="18"/>
      <c r="F87" s="18"/>
      <c r="G87" s="18" t="s">
        <v>81</v>
      </c>
      <c r="H87" s="18"/>
    </row>
    <row r="88" spans="5:9" ht="12.75">
      <c r="E88" s="18"/>
      <c r="F88" s="18"/>
      <c r="G88" s="18">
        <f>1-G81</f>
        <v>1</v>
      </c>
      <c r="H88" s="18"/>
      <c r="I88" s="18"/>
    </row>
    <row r="89" spans="5:9" ht="12.75">
      <c r="E89" s="18"/>
      <c r="F89" s="18"/>
      <c r="G89" s="18"/>
      <c r="H89" s="18"/>
      <c r="I89" s="18" t="s">
        <v>83</v>
      </c>
    </row>
    <row r="90" spans="5:10" ht="12.75">
      <c r="E90" s="18" t="s">
        <v>78</v>
      </c>
      <c r="F90" s="18"/>
      <c r="G90" s="18"/>
      <c r="H90" s="18"/>
      <c r="I90" s="18">
        <f>$B$21</f>
        <v>0.30000000000000004</v>
      </c>
      <c r="J90" s="19">
        <f>I90*G88*E83</f>
        <v>0.0005994303418545455</v>
      </c>
    </row>
    <row r="91" spans="5:9" ht="12.75">
      <c r="E91" s="18">
        <f>1-E83</f>
        <v>0.9980018988604848</v>
      </c>
      <c r="F91" s="18"/>
      <c r="G91" s="18"/>
      <c r="H91" s="18"/>
      <c r="I91" s="18"/>
    </row>
    <row r="92" spans="8:10" ht="12.75">
      <c r="H92" t="s">
        <v>87</v>
      </c>
      <c r="J92" s="20">
        <f>J79+J86</f>
        <v>0.001398670797660606</v>
      </c>
    </row>
    <row r="93" spans="8:10" ht="12.75">
      <c r="H93" t="s">
        <v>88</v>
      </c>
      <c r="J93" s="19">
        <f>J90+J83</f>
        <v>0.0005994303418545455</v>
      </c>
    </row>
    <row r="96" ht="12.75">
      <c r="J96" t="s">
        <v>84</v>
      </c>
    </row>
    <row r="97" spans="5:9" ht="12.75">
      <c r="E97" s="18"/>
      <c r="F97" s="18"/>
      <c r="G97" s="18"/>
      <c r="H97" s="18"/>
      <c r="I97" s="18" t="s">
        <v>82</v>
      </c>
    </row>
    <row r="98" spans="5:10" ht="12.75">
      <c r="E98" s="18"/>
      <c r="F98" s="18"/>
      <c r="G98" s="18"/>
      <c r="H98" s="18"/>
      <c r="I98" s="18">
        <f>$B$22</f>
        <v>0.2</v>
      </c>
      <c r="J98" s="19">
        <f>I98*G100*E102</f>
        <v>2.0000000000000002E-07</v>
      </c>
    </row>
    <row r="99" spans="5:9" ht="12.75">
      <c r="E99" s="18"/>
      <c r="F99" s="18"/>
      <c r="G99" s="18" t="s">
        <v>80</v>
      </c>
      <c r="H99" s="18"/>
      <c r="I99" s="18"/>
    </row>
    <row r="100" spans="5:9" ht="12.75">
      <c r="E100" s="18"/>
      <c r="F100" s="18"/>
      <c r="G100" s="18">
        <f>$B$19</f>
        <v>0.01</v>
      </c>
      <c r="H100" s="18"/>
      <c r="I100" s="18"/>
    </row>
    <row r="101" spans="5:9" ht="12.75">
      <c r="E101" s="18" t="s">
        <v>77</v>
      </c>
      <c r="F101" s="18"/>
      <c r="G101" s="18"/>
      <c r="H101" s="18"/>
      <c r="I101" s="18" t="s">
        <v>83</v>
      </c>
    </row>
    <row r="102" spans="5:10" ht="12.75">
      <c r="E102" s="18">
        <f>$B$18</f>
        <v>0.0001</v>
      </c>
      <c r="F102" s="18"/>
      <c r="G102" s="18"/>
      <c r="H102" s="18"/>
      <c r="I102" s="18">
        <f>$B$23</f>
        <v>0.8</v>
      </c>
      <c r="J102" s="18">
        <f>I102*G100*E102</f>
        <v>8.000000000000001E-07</v>
      </c>
    </row>
    <row r="103" spans="1:9" ht="12.75">
      <c r="A103" t="s">
        <v>85</v>
      </c>
      <c r="E103" s="18"/>
      <c r="F103" s="18"/>
      <c r="G103" s="18"/>
      <c r="H103" s="18"/>
      <c r="I103" s="18"/>
    </row>
    <row r="104" spans="1:9" ht="12.75">
      <c r="A104" t="s">
        <v>57</v>
      </c>
      <c r="B104" t="s">
        <v>86</v>
      </c>
      <c r="E104" s="18"/>
      <c r="F104" s="18"/>
      <c r="G104" s="18"/>
      <c r="H104" s="18"/>
      <c r="I104" s="18" t="s">
        <v>82</v>
      </c>
    </row>
    <row r="105" spans="2:10" ht="12.75">
      <c r="B105" s="17"/>
      <c r="E105" s="18"/>
      <c r="F105" s="18"/>
      <c r="G105" s="18"/>
      <c r="H105" s="18"/>
      <c r="I105" s="18">
        <f>$B$20</f>
        <v>0.7</v>
      </c>
      <c r="J105" s="19">
        <f>I105*G107*E102</f>
        <v>6.93E-05</v>
      </c>
    </row>
    <row r="106" spans="5:8" ht="12.75">
      <c r="E106" s="18"/>
      <c r="F106" s="18"/>
      <c r="G106" s="18" t="s">
        <v>81</v>
      </c>
      <c r="H106" s="18"/>
    </row>
    <row r="107" spans="5:9" ht="12.75">
      <c r="E107" s="18"/>
      <c r="F107" s="18"/>
      <c r="G107" s="18">
        <f>1-G100</f>
        <v>0.99</v>
      </c>
      <c r="H107" s="18"/>
      <c r="I107" s="18"/>
    </row>
    <row r="108" spans="5:9" ht="12.75">
      <c r="E108" s="18"/>
      <c r="F108" s="18"/>
      <c r="G108" s="18"/>
      <c r="H108" s="18"/>
      <c r="I108" s="18" t="s">
        <v>83</v>
      </c>
    </row>
    <row r="109" spans="5:10" ht="12.75">
      <c r="E109" s="18" t="s">
        <v>78</v>
      </c>
      <c r="F109" s="18"/>
      <c r="G109" s="18"/>
      <c r="H109" s="18"/>
      <c r="I109" s="18">
        <f>$B$21</f>
        <v>0.30000000000000004</v>
      </c>
      <c r="J109" s="19">
        <f>I109*G107*E102</f>
        <v>2.9700000000000007E-05</v>
      </c>
    </row>
    <row r="110" spans="5:9" ht="12.75">
      <c r="E110" s="18">
        <f>1-E102</f>
        <v>0.9999</v>
      </c>
      <c r="F110" s="18"/>
      <c r="G110" s="18"/>
      <c r="H110" s="18"/>
      <c r="I110" s="18"/>
    </row>
    <row r="111" spans="8:10" ht="12.75">
      <c r="H111" t="s">
        <v>87</v>
      </c>
      <c r="J111" s="20">
        <f>J98+J105</f>
        <v>6.950000000000001E-05</v>
      </c>
    </row>
    <row r="112" spans="8:10" ht="12.75">
      <c r="H112" t="s">
        <v>88</v>
      </c>
      <c r="J112" s="19">
        <f>J109+J102</f>
        <v>3.0500000000000006E-05</v>
      </c>
    </row>
    <row r="116" ht="12.75">
      <c r="A116" t="s">
        <v>89</v>
      </c>
    </row>
    <row r="118" spans="1:9" s="9" customFormat="1" ht="51">
      <c r="A118" s="8"/>
      <c r="B118" s="8" t="s">
        <v>100</v>
      </c>
      <c r="C118" s="8" t="s">
        <v>91</v>
      </c>
      <c r="D118" s="8" t="s">
        <v>99</v>
      </c>
      <c r="E118" s="8" t="s">
        <v>95</v>
      </c>
      <c r="F118" s="8" t="s">
        <v>96</v>
      </c>
      <c r="G118" s="8" t="s">
        <v>97</v>
      </c>
      <c r="H118" s="8" t="s">
        <v>101</v>
      </c>
      <c r="I118" s="9" t="s">
        <v>102</v>
      </c>
    </row>
    <row r="119" spans="1:8" ht="12.75">
      <c r="A119" s="2" t="s">
        <v>61</v>
      </c>
      <c r="B119" s="2" t="s">
        <v>71</v>
      </c>
      <c r="C119" s="25">
        <f>F51</f>
        <v>0.0024775</v>
      </c>
      <c r="D119" s="2" t="s">
        <v>82</v>
      </c>
      <c r="E119" s="21">
        <f>$Q$32</f>
        <v>10000000</v>
      </c>
      <c r="F119" s="26">
        <f>$J$92</f>
        <v>0.001398670797660606</v>
      </c>
      <c r="G119" s="21">
        <f>F119*E119*C119</f>
        <v>34.652069012041515</v>
      </c>
      <c r="H119" s="21">
        <v>34.652069012041515</v>
      </c>
    </row>
    <row r="120" spans="1:8" ht="12.75">
      <c r="A120" s="2"/>
      <c r="B120" s="2"/>
      <c r="C120" s="25">
        <f>C119</f>
        <v>0.0024775</v>
      </c>
      <c r="D120" s="2" t="s">
        <v>83</v>
      </c>
      <c r="E120" s="21">
        <f>$R$32</f>
        <v>100000000</v>
      </c>
      <c r="F120" s="27">
        <f>$J$93</f>
        <v>0.0005994303418545455</v>
      </c>
      <c r="G120" s="21">
        <f>F120*E120*C120</f>
        <v>148.50886719446365</v>
      </c>
      <c r="H120" s="21">
        <v>148.50886719446365</v>
      </c>
    </row>
    <row r="121" spans="1:8" ht="12.75">
      <c r="A121" s="2"/>
      <c r="B121" s="2" t="s">
        <v>72</v>
      </c>
      <c r="C121" s="25">
        <f>G51</f>
        <v>0.00028199999999999997</v>
      </c>
      <c r="D121" s="2" t="s">
        <v>82</v>
      </c>
      <c r="E121" s="21">
        <f>$I$51</f>
        <v>1901551418.4397163</v>
      </c>
      <c r="F121" s="26">
        <f>$J$92</f>
        <v>0.001398670797660606</v>
      </c>
      <c r="G121" s="21">
        <f>F121*E121*C121</f>
        <v>750.0197318605292</v>
      </c>
      <c r="H121" s="21">
        <v>750.0197318605292</v>
      </c>
    </row>
    <row r="122" spans="1:8" ht="12.75">
      <c r="A122" s="2"/>
      <c r="B122" s="2"/>
      <c r="C122" s="25">
        <f>C121</f>
        <v>0.00028199999999999997</v>
      </c>
      <c r="D122" s="2" t="s">
        <v>83</v>
      </c>
      <c r="E122" s="21">
        <f>$J$51</f>
        <v>180196476063.8298</v>
      </c>
      <c r="F122" s="27">
        <f>$J$93</f>
        <v>0.0005994303418545455</v>
      </c>
      <c r="G122" s="21">
        <f>F122*E122*C122</f>
        <v>30460.29633991511</v>
      </c>
      <c r="H122" s="21">
        <v>30460.29633991511</v>
      </c>
    </row>
    <row r="123" spans="1:8" ht="12.75">
      <c r="A123" s="2"/>
      <c r="B123" s="2"/>
      <c r="C123" s="25"/>
      <c r="D123" s="2"/>
      <c r="E123" s="21"/>
      <c r="F123" s="28" t="s">
        <v>98</v>
      </c>
      <c r="G123" s="29">
        <f>SUM(G119:G122)</f>
        <v>31393.477007982143</v>
      </c>
      <c r="H123" s="29">
        <v>31393.477007982143</v>
      </c>
    </row>
    <row r="124" spans="1:8" ht="12.75">
      <c r="A124" s="2" t="s">
        <v>66</v>
      </c>
      <c r="B124" s="2" t="s">
        <v>71</v>
      </c>
      <c r="C124" s="25">
        <f>F60</f>
        <v>0.5008</v>
      </c>
      <c r="D124" s="2" t="s">
        <v>82</v>
      </c>
      <c r="E124" s="21">
        <f>$Q$32</f>
        <v>10000000</v>
      </c>
      <c r="F124" s="26">
        <f>$J$111</f>
        <v>6.950000000000001E-05</v>
      </c>
      <c r="G124" s="21">
        <f>F124*E124*C124</f>
        <v>348.0560000000001</v>
      </c>
      <c r="H124" s="21">
        <v>149.73920000000004</v>
      </c>
    </row>
    <row r="125" spans="1:8" ht="12.75">
      <c r="A125" s="2"/>
      <c r="B125" s="2"/>
      <c r="C125" s="25">
        <f>C124</f>
        <v>0.5008</v>
      </c>
      <c r="D125" s="2" t="s">
        <v>83</v>
      </c>
      <c r="E125" s="21">
        <f>$R$32</f>
        <v>100000000</v>
      </c>
      <c r="F125" s="27">
        <f>$J$112</f>
        <v>3.0500000000000006E-05</v>
      </c>
      <c r="G125" s="21">
        <f>F125*E125*C125</f>
        <v>1527.4400000000003</v>
      </c>
      <c r="H125" s="21">
        <v>1527.44</v>
      </c>
    </row>
    <row r="126" spans="1:8" ht="12.75">
      <c r="A126" s="2"/>
      <c r="B126" s="2" t="s">
        <v>72</v>
      </c>
      <c r="C126" s="25">
        <f>G60</f>
        <v>0.0564</v>
      </c>
      <c r="D126" s="2" t="s">
        <v>82</v>
      </c>
      <c r="E126" s="21">
        <f>$I$51</f>
        <v>1901551418.4397163</v>
      </c>
      <c r="F126" s="26">
        <f>$J$111</f>
        <v>6.950000000000001E-05</v>
      </c>
      <c r="G126" s="21">
        <f>F126*E126*C126</f>
        <v>7453.701250000001</v>
      </c>
      <c r="H126" s="21">
        <v>3206.700250000001</v>
      </c>
    </row>
    <row r="127" spans="1:8" ht="12.75">
      <c r="A127" s="2"/>
      <c r="B127" s="2"/>
      <c r="C127" s="25">
        <f>C126</f>
        <v>0.0564</v>
      </c>
      <c r="D127" s="2" t="s">
        <v>83</v>
      </c>
      <c r="E127" s="21">
        <f>$J$51</f>
        <v>180196476063.8298</v>
      </c>
      <c r="F127" s="27">
        <f>$J$112</f>
        <v>3.0500000000000006E-05</v>
      </c>
      <c r="G127" s="21">
        <f>F127*E127*C127</f>
        <v>309973.9781250001</v>
      </c>
      <c r="H127" s="21">
        <v>309973.9781250001</v>
      </c>
    </row>
    <row r="128" spans="1:9" ht="12.75">
      <c r="A128" s="2"/>
      <c r="B128" s="2"/>
      <c r="C128" s="25"/>
      <c r="D128" s="2"/>
      <c r="E128" s="21"/>
      <c r="F128" s="28" t="s">
        <v>98</v>
      </c>
      <c r="G128" s="29">
        <f>SUM(G124:G127)</f>
        <v>319303.1753750001</v>
      </c>
      <c r="H128" s="29">
        <v>314857.8575750001</v>
      </c>
      <c r="I128" s="1">
        <f>H128-G128</f>
        <v>-4445.317800000019</v>
      </c>
    </row>
    <row r="129" spans="1:8" ht="12.75">
      <c r="A129" s="2" t="s">
        <v>63</v>
      </c>
      <c r="B129" s="2" t="s">
        <v>71</v>
      </c>
      <c r="C129" s="25">
        <f>F68</f>
        <v>0.0239375</v>
      </c>
      <c r="D129" s="2" t="s">
        <v>82</v>
      </c>
      <c r="E129" s="21">
        <f>$Q$32</f>
        <v>10000000</v>
      </c>
      <c r="F129" s="26">
        <f>$J$92</f>
        <v>0.001398670797660606</v>
      </c>
      <c r="G129" s="21">
        <f>F129*E129*C129</f>
        <v>334.80682219000755</v>
      </c>
      <c r="H129" s="21">
        <v>334.80682219000755</v>
      </c>
    </row>
    <row r="130" spans="1:8" ht="12.75">
      <c r="A130" s="2"/>
      <c r="B130" s="2"/>
      <c r="C130" s="25">
        <f>C129</f>
        <v>0.0239375</v>
      </c>
      <c r="D130" s="2" t="s">
        <v>83</v>
      </c>
      <c r="E130" s="21">
        <f>$R$32</f>
        <v>100000000</v>
      </c>
      <c r="F130" s="27">
        <f>$J$93</f>
        <v>0.0005994303418545455</v>
      </c>
      <c r="G130" s="21">
        <f>F130*E130*C130</f>
        <v>1434.8863808143183</v>
      </c>
      <c r="H130" s="21">
        <v>1434.8863808143183</v>
      </c>
    </row>
    <row r="131" spans="1:8" ht="12.75">
      <c r="A131" s="2"/>
      <c r="B131" s="2" t="s">
        <v>72</v>
      </c>
      <c r="C131" s="25">
        <f>G68</f>
        <v>0.001692</v>
      </c>
      <c r="D131" s="2" t="s">
        <v>82</v>
      </c>
      <c r="E131" s="21">
        <f>$I$68</f>
        <v>1947828014.1843972</v>
      </c>
      <c r="F131" s="26">
        <f>$J$92</f>
        <v>0.001398670797660606</v>
      </c>
      <c r="G131" s="21">
        <f>F131*E131*C131</f>
        <v>4609.6343146200015</v>
      </c>
      <c r="H131" s="21">
        <v>4609.6343146200015</v>
      </c>
    </row>
    <row r="132" spans="1:8" ht="12.75">
      <c r="A132" s="2"/>
      <c r="B132" s="2"/>
      <c r="C132" s="25">
        <f>C131</f>
        <v>0.001692</v>
      </c>
      <c r="D132" s="2" t="s">
        <v>83</v>
      </c>
      <c r="E132" s="21">
        <f>$J$68</f>
        <v>180569703014.18442</v>
      </c>
      <c r="F132" s="27">
        <f>$J$93</f>
        <v>0.0005994303418545455</v>
      </c>
      <c r="G132" s="21">
        <f>F132*E132*C132</f>
        <v>183140.31830037181</v>
      </c>
      <c r="H132" s="21">
        <v>183140.31830037181</v>
      </c>
    </row>
    <row r="133" spans="1:8" ht="12.75">
      <c r="A133" s="2"/>
      <c r="B133" s="2"/>
      <c r="C133" s="25"/>
      <c r="D133" s="2"/>
      <c r="E133" s="21"/>
      <c r="F133" s="28" t="s">
        <v>98</v>
      </c>
      <c r="G133" s="29">
        <f>SUM(G129:G132)</f>
        <v>189519.64581799615</v>
      </c>
      <c r="H133" s="29">
        <v>189519.64581799615</v>
      </c>
    </row>
    <row r="134" spans="1:8" ht="12.75">
      <c r="A134" s="2" t="s">
        <v>64</v>
      </c>
      <c r="B134" s="2" t="s">
        <v>71</v>
      </c>
      <c r="C134" s="25">
        <f>F74</f>
        <v>4.3898</v>
      </c>
      <c r="D134" s="2" t="s">
        <v>82</v>
      </c>
      <c r="E134" s="21">
        <f>$Q$32</f>
        <v>10000000</v>
      </c>
      <c r="F134" s="26">
        <f>$J$111</f>
        <v>6.950000000000001E-05</v>
      </c>
      <c r="G134" s="21">
        <f>F134*E134*C134</f>
        <v>3050.9110000000005</v>
      </c>
      <c r="H134" s="21">
        <v>1312.5502000000004</v>
      </c>
    </row>
    <row r="135" spans="1:8" ht="12.75">
      <c r="A135" s="2"/>
      <c r="B135" s="2"/>
      <c r="C135" s="25">
        <f>C134</f>
        <v>4.3898</v>
      </c>
      <c r="D135" s="2" t="s">
        <v>83</v>
      </c>
      <c r="E135" s="21">
        <f>$R$32</f>
        <v>100000000</v>
      </c>
      <c r="F135" s="27">
        <f>$J$112</f>
        <v>3.0500000000000006E-05</v>
      </c>
      <c r="G135" s="21">
        <f>F135*E135*C135</f>
        <v>13388.890000000003</v>
      </c>
      <c r="H135" s="21">
        <v>13388.89</v>
      </c>
    </row>
    <row r="136" spans="1:8" ht="12.75">
      <c r="A136" s="2"/>
      <c r="B136" s="2" t="s">
        <v>72</v>
      </c>
      <c r="C136" s="25">
        <f>G74</f>
        <v>0.3384</v>
      </c>
      <c r="D136" s="2" t="s">
        <v>82</v>
      </c>
      <c r="E136" s="21">
        <f>$I$68</f>
        <v>1947828014.1843972</v>
      </c>
      <c r="F136" s="26">
        <f>$J$111</f>
        <v>6.950000000000001E-05</v>
      </c>
      <c r="G136" s="21">
        <f>F136*E136*C136</f>
        <v>45810.57750000001</v>
      </c>
      <c r="H136" s="21">
        <v>19708.435500000003</v>
      </c>
    </row>
    <row r="137" spans="1:8" ht="12.75">
      <c r="A137" s="2"/>
      <c r="B137" s="2"/>
      <c r="C137" s="25">
        <f>C136</f>
        <v>0.3384</v>
      </c>
      <c r="D137" s="2" t="s">
        <v>83</v>
      </c>
      <c r="E137" s="21">
        <f>$J$68</f>
        <v>180569703014.18442</v>
      </c>
      <c r="F137" s="27">
        <f>$J$112</f>
        <v>3.0500000000000006E-05</v>
      </c>
      <c r="G137" s="21">
        <f>F137*E137*C137</f>
        <v>1863696.0187500005</v>
      </c>
      <c r="H137" s="21">
        <v>1863696.0187500005</v>
      </c>
    </row>
    <row r="138" spans="1:9" ht="12.75">
      <c r="A138" s="2"/>
      <c r="B138" s="2"/>
      <c r="C138" s="2"/>
      <c r="D138" s="2"/>
      <c r="E138" s="2"/>
      <c r="F138" s="30" t="s">
        <v>98</v>
      </c>
      <c r="G138" s="29">
        <f>SUM(G134:G137)</f>
        <v>1925946.3972500006</v>
      </c>
      <c r="H138" s="29">
        <v>1898105.8944500005</v>
      </c>
      <c r="I138" s="1">
        <f>H138-G138</f>
        <v>-27840.502800000133</v>
      </c>
    </row>
    <row r="140" ht="12.75">
      <c r="I140" t="s">
        <v>105</v>
      </c>
    </row>
    <row r="141" spans="8:9" ht="12.75">
      <c r="H141" t="s">
        <v>104</v>
      </c>
      <c r="I141" t="s">
        <v>103</v>
      </c>
    </row>
    <row r="142" spans="8:9" ht="12.75">
      <c r="H142">
        <v>0.1</v>
      </c>
      <c r="I142" s="31">
        <f>PV(H142,B4,I138)</f>
        <v>171067.83771115998</v>
      </c>
    </row>
  </sheetData>
  <sheetProtection/>
  <mergeCells count="1">
    <mergeCell ref="F42:G4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I25" sqref="I25"/>
    </sheetView>
  </sheetViews>
  <sheetFormatPr defaultColWidth="9.140625" defaultRowHeight="12.75"/>
  <cols>
    <col min="2" max="2" width="12.57421875" style="0" customWidth="1"/>
    <col min="3" max="3" width="14.57421875" style="0" customWidth="1"/>
    <col min="4" max="4" width="14.140625" style="0" customWidth="1"/>
    <col min="5" max="6" width="13.7109375" style="0" customWidth="1"/>
    <col min="7" max="7" width="30.28125" style="0" customWidth="1"/>
    <col min="8" max="8" width="16.00390625" style="0" customWidth="1"/>
    <col min="9" max="9" width="14.8515625" style="0" customWidth="1"/>
    <col min="10" max="10" width="14.8515625" style="0" bestFit="1" customWidth="1"/>
  </cols>
  <sheetData>
    <row r="2" spans="2:9" ht="25.5">
      <c r="B2" s="32" t="s">
        <v>106</v>
      </c>
      <c r="C2" s="32" t="s">
        <v>107</v>
      </c>
      <c r="D2" s="32" t="s">
        <v>108</v>
      </c>
      <c r="E2" s="32" t="s">
        <v>109</v>
      </c>
      <c r="F2" s="32" t="s">
        <v>109</v>
      </c>
      <c r="G2" s="32" t="s">
        <v>110</v>
      </c>
      <c r="H2" s="32" t="s">
        <v>110</v>
      </c>
      <c r="I2" s="34" t="s">
        <v>128</v>
      </c>
    </row>
    <row r="3" spans="2:9" ht="51">
      <c r="B3" s="32" t="s">
        <v>111</v>
      </c>
      <c r="C3" s="33">
        <f>1000000000</f>
        <v>1000000000</v>
      </c>
      <c r="D3" s="32" t="s">
        <v>112</v>
      </c>
      <c r="E3" s="32" t="s">
        <v>113</v>
      </c>
      <c r="F3" s="33">
        <v>1000000</v>
      </c>
      <c r="G3" s="32" t="s">
        <v>114</v>
      </c>
      <c r="H3" s="34">
        <v>0</v>
      </c>
      <c r="I3" s="22">
        <v>150000000</v>
      </c>
    </row>
    <row r="4" spans="2:9" ht="109.5" customHeight="1">
      <c r="B4" s="32" t="s">
        <v>115</v>
      </c>
      <c r="C4" s="33">
        <v>200000000</v>
      </c>
      <c r="D4" s="32">
        <v>50</v>
      </c>
      <c r="E4" s="32" t="s">
        <v>116</v>
      </c>
      <c r="F4" s="33">
        <v>4000000</v>
      </c>
      <c r="G4" s="32" t="s">
        <v>117</v>
      </c>
      <c r="H4" s="21">
        <f>-G7*G8+G7*G9</f>
        <v>400000000</v>
      </c>
      <c r="I4" s="22">
        <v>50000000</v>
      </c>
    </row>
    <row r="6" spans="2:6" ht="12.75">
      <c r="B6" s="36" t="s">
        <v>132</v>
      </c>
      <c r="C6" t="s">
        <v>130</v>
      </c>
      <c r="F6" t="s">
        <v>122</v>
      </c>
    </row>
    <row r="7" spans="1:7" ht="12.75">
      <c r="A7" s="37" t="s">
        <v>131</v>
      </c>
      <c r="B7" s="4">
        <v>100</v>
      </c>
      <c r="C7" s="31">
        <f>PV($A$8,B7,F3)</f>
        <v>-19847910.200042527</v>
      </c>
      <c r="F7" t="s">
        <v>118</v>
      </c>
      <c r="G7" s="35">
        <v>0.5</v>
      </c>
    </row>
    <row r="8" spans="1:7" ht="12.75">
      <c r="A8" s="6">
        <v>0.05</v>
      </c>
      <c r="B8" s="4">
        <v>50</v>
      </c>
      <c r="C8" s="31">
        <f>PV($A$8,B8,F4)</f>
        <v>-73023701.84220956</v>
      </c>
      <c r="F8" t="s">
        <v>119</v>
      </c>
      <c r="G8" s="4">
        <v>200000000</v>
      </c>
    </row>
    <row r="9" spans="6:7" ht="12.75">
      <c r="F9" t="s">
        <v>107</v>
      </c>
      <c r="G9" s="5">
        <f>C3</f>
        <v>1000000000</v>
      </c>
    </row>
    <row r="12" ht="12.75">
      <c r="B12" s="10"/>
    </row>
    <row r="14" spans="2:10" s="9" customFormat="1" ht="51">
      <c r="B14" s="9" t="s">
        <v>79</v>
      </c>
      <c r="C14" s="9" t="s">
        <v>127</v>
      </c>
      <c r="D14" s="9" t="s">
        <v>129</v>
      </c>
      <c r="E14" s="9" t="s">
        <v>136</v>
      </c>
      <c r="F14" s="9" t="s">
        <v>134</v>
      </c>
      <c r="G14" s="9" t="s">
        <v>133</v>
      </c>
      <c r="H14" s="9" t="s">
        <v>135</v>
      </c>
      <c r="I14" s="9" t="s">
        <v>137</v>
      </c>
      <c r="J14" s="9" t="s">
        <v>138</v>
      </c>
    </row>
    <row r="15" spans="2:10" ht="12.75">
      <c r="B15" t="s">
        <v>123</v>
      </c>
      <c r="C15" s="38">
        <f>C4+I4</f>
        <v>250000000</v>
      </c>
      <c r="D15" s="1">
        <f>RA!N51</f>
        <v>785550</v>
      </c>
      <c r="E15" s="1">
        <f>RA!G123</f>
        <v>31393.477007982143</v>
      </c>
      <c r="F15" s="1">
        <f>D15+E15</f>
        <v>816943.4770079821</v>
      </c>
      <c r="G15" s="38">
        <f>-PV($A$8,RA!$B$4,F15)</f>
        <v>6308220.981582225</v>
      </c>
      <c r="H15" s="38">
        <f>-C8</f>
        <v>73023701.84220956</v>
      </c>
      <c r="I15" s="38">
        <f>H4/(1+A8)^B8</f>
        <v>34881490.78895224</v>
      </c>
      <c r="J15" s="38">
        <f>C15+G15+H15+I15</f>
        <v>364213413.61274403</v>
      </c>
    </row>
    <row r="16" spans="2:10" ht="12.75">
      <c r="B16" t="s">
        <v>124</v>
      </c>
      <c r="C16" s="38">
        <f>C4</f>
        <v>200000000</v>
      </c>
      <c r="D16" s="1">
        <f>RA!N60</f>
        <v>2645000</v>
      </c>
      <c r="E16" s="1">
        <f>RA!G128</f>
        <v>319303.1753750001</v>
      </c>
      <c r="F16" s="1">
        <f>D16+E16</f>
        <v>2964303.175375</v>
      </c>
      <c r="G16" s="38">
        <f>-PV($A$8,RA!$B$4,F16)</f>
        <v>22889563.36998659</v>
      </c>
      <c r="H16" s="38">
        <f>-C8</f>
        <v>73023701.84220956</v>
      </c>
      <c r="I16" s="38">
        <f>I15</f>
        <v>34881490.78895224</v>
      </c>
      <c r="J16" s="38">
        <f>C16+G16+H16+I16</f>
        <v>330794756.0011484</v>
      </c>
    </row>
    <row r="17" spans="2:10" ht="12.75">
      <c r="B17" t="s">
        <v>125</v>
      </c>
      <c r="C17" s="38">
        <f>C3+I3</f>
        <v>1150000000</v>
      </c>
      <c r="D17" s="1">
        <f>RA!N68</f>
        <v>7435050.000000001</v>
      </c>
      <c r="E17" s="1">
        <f>RA!G133</f>
        <v>189519.64581799615</v>
      </c>
      <c r="F17" s="1">
        <f>D17+E17</f>
        <v>7624569.645817997</v>
      </c>
      <c r="G17" s="38">
        <f>-PV($A$8,RA!$B$4,F17)</f>
        <v>58874905.754115105</v>
      </c>
      <c r="H17" s="38">
        <f>-C7</f>
        <v>19847910.200042527</v>
      </c>
      <c r="I17" s="38">
        <v>0</v>
      </c>
      <c r="J17" s="38">
        <f>C17+G17+H17+I17</f>
        <v>1228722815.9541576</v>
      </c>
    </row>
    <row r="18" spans="2:10" ht="12.75">
      <c r="B18" t="s">
        <v>126</v>
      </c>
      <c r="C18" s="38">
        <f>C3</f>
        <v>1000000000</v>
      </c>
      <c r="D18" s="1">
        <f>RA!N74</f>
        <v>22795000</v>
      </c>
      <c r="E18" s="1">
        <f>RA!G138</f>
        <v>1925946.3972500006</v>
      </c>
      <c r="F18" s="1">
        <f>D18+E18</f>
        <v>24720946.39725</v>
      </c>
      <c r="G18" s="38">
        <f>-PV($A$8,RA!$B$4,F18)</f>
        <v>190888595.2781508</v>
      </c>
      <c r="H18" s="38">
        <f>-C7</f>
        <v>19847910.200042527</v>
      </c>
      <c r="I18" s="38">
        <v>0</v>
      </c>
      <c r="J18" s="38">
        <f>C18+G18+H18+I18</f>
        <v>1210736505.4781933</v>
      </c>
    </row>
    <row r="21" ht="12.75">
      <c r="I21" t="s">
        <v>139</v>
      </c>
    </row>
    <row r="22" ht="12.75">
      <c r="I22" s="38">
        <f>J18-J16</f>
        <v>879941749.4770448</v>
      </c>
    </row>
    <row r="23" ht="12.75">
      <c r="I23" t="s">
        <v>140</v>
      </c>
    </row>
    <row r="24" ht="12.75">
      <c r="I24">
        <f>(1-1/(1+A8)^B8)/A8</f>
        <v>18.255925460552387</v>
      </c>
    </row>
    <row r="25" ht="12.75">
      <c r="I25" s="39">
        <f>I22/I24</f>
        <v>48200336.45396028</v>
      </c>
    </row>
    <row r="27" ht="12.75">
      <c r="I27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MIT-LAI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Sahani</dc:creator>
  <cp:keywords/>
  <dc:description/>
  <cp:lastModifiedBy>J_chuang</cp:lastModifiedBy>
  <dcterms:created xsi:type="dcterms:W3CDTF">2006-05-03T02:07:37Z</dcterms:created>
  <dcterms:modified xsi:type="dcterms:W3CDTF">2007-12-14T17:07:36Z</dcterms:modified>
  <cp:category/>
  <cp:version/>
  <cp:contentType/>
  <cp:contentStatus/>
</cp:coreProperties>
</file>